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500" firstSheet="1" activeTab="4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<sst xmlns="http://schemas.openxmlformats.org/spreadsheetml/2006/main" count="1869" uniqueCount="522">
  <si>
    <t>Stavební rozpočet</t>
  </si>
  <si>
    <t>Název stavby:</t>
  </si>
  <si>
    <t>Výtah OÚ Malšice</t>
  </si>
  <si>
    <t>Doba výstavby:</t>
  </si>
  <si>
    <t xml:space="preserve"> </t>
  </si>
  <si>
    <t>Objednatel:</t>
  </si>
  <si>
    <t> </t>
  </si>
  <si>
    <t>Druh stavby:</t>
  </si>
  <si>
    <t>Začátek výstavby:</t>
  </si>
  <si>
    <t>13.05.2019</t>
  </si>
  <si>
    <t>Projektant:</t>
  </si>
  <si>
    <t>Lokalita:</t>
  </si>
  <si>
    <t>Malšice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</si>
  <si>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</si>
  <si>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</si>
  <si>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</si>
  <si>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</si>
  <si>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</si>
  <si>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</si>
  <si>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</si>
  <si>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</si>
  <si>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 / Varianta</t>
  </si>
  <si>
    <t>MJ</t>
  </si>
  <si>
    <t>Množství</t>
  </si>
  <si>
    <t>Cena/MJ</t>
  </si>
  <si>
    <t>Náklady (Kč)</t>
  </si>
  <si>
    <t>Hmotnost (t)</t>
  </si>
  <si>
    <t>Cenová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</si>
  <si>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</si>
  <si>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</si>
  <si>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</si>
  <si>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</si>
  <si>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</si>
  <si>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</si>
  <si>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</si>
  <si>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</si>
  <si>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</si>
  <si>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</si>
  <si>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</si>
  <si>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</si>
  <si>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</si>
  <si>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</si>
  <si>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</si>
  <si>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</si>
  <si>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</si>
  <si>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</si>
  <si>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</si>
  <si>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01</t>
  </si>
  <si>
    <t>Výtah</t>
  </si>
  <si>
    <t>13</t>
  </si>
  <si>
    <t>Hloubené vykopávky</t>
  </si>
  <si>
    <t>1</t>
  </si>
  <si>
    <t>131201110R00</t>
  </si>
  <si>
    <t>Hloubení nezapaž. jam hor.3 do 50 m3, STROJNĚ</t>
  </si>
  <si>
    <t>m3</t>
  </si>
  <si>
    <t>RTS I / 2019</t>
  </si>
  <si>
    <t>13_</t>
  </si>
  <si>
    <t>01_1_</t>
  </si>
  <si>
    <t>01_</t>
  </si>
  <si>
    <t>2</t>
  </si>
  <si>
    <t>132101110R00</t>
  </si>
  <si>
    <t>Hloubení rýh š.do 60 cm v hor.2 do 50 m3, STROJNĚ</t>
  </si>
  <si>
    <t>16</t>
  </si>
  <si>
    <t>Přemístění výkopku</t>
  </si>
  <si>
    <t>3</t>
  </si>
  <si>
    <t>162701104R00</t>
  </si>
  <si>
    <t>Vodorovné přemístění výkopku z hor.1-4 do 9000 m</t>
  </si>
  <si>
    <t>16_</t>
  </si>
  <si>
    <t>17</t>
  </si>
  <si>
    <t>Konstrukce ze zemin</t>
  </si>
  <si>
    <t>4</t>
  </si>
  <si>
    <t>174101101R00</t>
  </si>
  <si>
    <t>Zásyp jam, rýh, šachet se zhutněním</t>
  </si>
  <si>
    <t>17_</t>
  </si>
  <si>
    <t>5</t>
  </si>
  <si>
    <t>175101101R00</t>
  </si>
  <si>
    <t>Obsyp potrubí bez prohození sypaniny dešť. Kanal.</t>
  </si>
  <si>
    <t>RTS II / 2018</t>
  </si>
  <si>
    <t>6</t>
  </si>
  <si>
    <t>18</t>
  </si>
  <si>
    <t>Povrchové úpravy terénu</t>
  </si>
  <si>
    <t>7</t>
  </si>
  <si>
    <t>181101102R00</t>
  </si>
  <si>
    <t>Úprava pláně v zářezech v hor. 1-4, se zhutněním</t>
  </si>
  <si>
    <t>m2</t>
  </si>
  <si>
    <t>18_</t>
  </si>
  <si>
    <t>27</t>
  </si>
  <si>
    <t>Základy</t>
  </si>
  <si>
    <t>8</t>
  </si>
  <si>
    <t>271531113R00</t>
  </si>
  <si>
    <t>Polštář základu z kameniva hr. drceného 16-32 mm</t>
  </si>
  <si>
    <t>27_</t>
  </si>
  <si>
    <t>01_2_</t>
  </si>
  <si>
    <t>9</t>
  </si>
  <si>
    <t>273311114R00</t>
  </si>
  <si>
    <t>Beton základ. desek podkladní  z cem. portlad. C 12/15</t>
  </si>
  <si>
    <t>10</t>
  </si>
  <si>
    <t>274311114R00</t>
  </si>
  <si>
    <t>Beton základ. pasů prostý z cem. portland. C 12/15</t>
  </si>
  <si>
    <t>11</t>
  </si>
  <si>
    <t>273321411R00</t>
  </si>
  <si>
    <t>Železobeton základových desek C 25/30</t>
  </si>
  <si>
    <t>12</t>
  </si>
  <si>
    <t>273351215RT1</t>
  </si>
  <si>
    <t>Bednění stěn základových desek - zřízení</t>
  </si>
  <si>
    <t>bednicí materiál prkna</t>
  </si>
  <si>
    <t>273351216R00</t>
  </si>
  <si>
    <t>Bednění stěn základových desek - odstranění</t>
  </si>
  <si>
    <t>14</t>
  </si>
  <si>
    <t>273361215R00</t>
  </si>
  <si>
    <t>Výztuž zákl. desek do 12 mm, ocel BSt 500 S</t>
  </si>
  <si>
    <t>t</t>
  </si>
  <si>
    <t>31</t>
  </si>
  <si>
    <t>Zdi podpěrné a volné</t>
  </si>
  <si>
    <t>15</t>
  </si>
  <si>
    <t>311112120RT2</t>
  </si>
  <si>
    <t>Stěna z tvárnic ztraceného bednění, tl. 20 cm</t>
  </si>
  <si>
    <t>31_</t>
  </si>
  <si>
    <t>01_3_</t>
  </si>
  <si>
    <t>zalití tvárnic betonem C 16/20</t>
  </si>
  <si>
    <t>311361721R00</t>
  </si>
  <si>
    <t>Výztuž nadzákladových zdí z ocel BSt 500 S</t>
  </si>
  <si>
    <t>317944313RT4</t>
  </si>
  <si>
    <t>Válcované nosníky č.14-22 do připravených otvorů</t>
  </si>
  <si>
    <t>včetně dodávky profilu  I č.18</t>
  </si>
  <si>
    <t>317944313RT5</t>
  </si>
  <si>
    <t>včetně dodávky profilu  I č.20</t>
  </si>
  <si>
    <t>19</t>
  </si>
  <si>
    <t>317234410R00</t>
  </si>
  <si>
    <t>Vyzdívka mezi nosníky cihlami pálenými na MC</t>
  </si>
  <si>
    <t>20</t>
  </si>
  <si>
    <t>310236241RT1</t>
  </si>
  <si>
    <t>Zazdívka otvorů pl. 0,09 m2 cihlami, tl. zdi 30 cm</t>
  </si>
  <si>
    <t>kus</t>
  </si>
  <si>
    <t>s použitím suché maltové směsi</t>
  </si>
  <si>
    <t>21</t>
  </si>
  <si>
    <t>310238211RT1</t>
  </si>
  <si>
    <t>Zazdívka otvorů plochy do 1 m2 cihlami na MVC</t>
  </si>
  <si>
    <t>34</t>
  </si>
  <si>
    <t>Stěny a příčky</t>
  </si>
  <si>
    <t>22</t>
  </si>
  <si>
    <t>349231811R00</t>
  </si>
  <si>
    <t>Přizdívka ostění s ozubem z cihel, kapsy do 15 cm</t>
  </si>
  <si>
    <t>34_</t>
  </si>
  <si>
    <t>45</t>
  </si>
  <si>
    <t>Podkladní a vedlejší konstrukce (kromě vozovek a železničního svršku)</t>
  </si>
  <si>
    <t>23</t>
  </si>
  <si>
    <t>451572211R00</t>
  </si>
  <si>
    <t>Lože pod potrubí z kameniva těženého 4 - 8 mm</t>
  </si>
  <si>
    <t>45_</t>
  </si>
  <si>
    <t>01_4_</t>
  </si>
  <si>
    <t>59</t>
  </si>
  <si>
    <t>Kryty pozemních komunikací, letišť a ploch dlážděných (předlažby)</t>
  </si>
  <si>
    <t>24</t>
  </si>
  <si>
    <t>597071102R00</t>
  </si>
  <si>
    <t>Žlab odvodňovací 100, dl.1000 mm, A15</t>
  </si>
  <si>
    <t>m</t>
  </si>
  <si>
    <t>59_</t>
  </si>
  <si>
    <t>01_5_</t>
  </si>
  <si>
    <t>61</t>
  </si>
  <si>
    <t>Úprava povrchů vnitřní</t>
  </si>
  <si>
    <t>25</t>
  </si>
  <si>
    <t>612425931R00</t>
  </si>
  <si>
    <t>Omítka vápenná vnitřního ostění - štuková</t>
  </si>
  <si>
    <t>61_</t>
  </si>
  <si>
    <t>01_6_</t>
  </si>
  <si>
    <t>26</t>
  </si>
  <si>
    <t>612421637R00</t>
  </si>
  <si>
    <t>Omítka vnitřní zdiva, MVC, štuková</t>
  </si>
  <si>
    <t>62</t>
  </si>
  <si>
    <t>Úprava povrchů vnější</t>
  </si>
  <si>
    <t>622432112R00</t>
  </si>
  <si>
    <t>Omítka stěn weber-pas marmolit střednězrnná</t>
  </si>
  <si>
    <t>62_</t>
  </si>
  <si>
    <t>711</t>
  </si>
  <si>
    <t>Izolace proti vodě</t>
  </si>
  <si>
    <t>28</t>
  </si>
  <si>
    <t>711111001RZ1</t>
  </si>
  <si>
    <t>Izolace proti vlhkosti vodor. nátěr ALP za studena</t>
  </si>
  <si>
    <t>711_</t>
  </si>
  <si>
    <t>01_71_</t>
  </si>
  <si>
    <t>1x nátěr - včetně dodávky penetračního laku ALP</t>
  </si>
  <si>
    <t>29</t>
  </si>
  <si>
    <t>711112006RZ2</t>
  </si>
  <si>
    <t>Izolace proti vlhkosti svis.,nátěr penetr.emulzí</t>
  </si>
  <si>
    <t>včetně emulze  0,2 kg/m2</t>
  </si>
  <si>
    <t>30</t>
  </si>
  <si>
    <t>711141559RZ3</t>
  </si>
  <si>
    <t>Izolace proti vlhk. vodorovná pásy přitavením</t>
  </si>
  <si>
    <t xml:space="preserve">1 vrstva - včetně dodávky </t>
  </si>
  <si>
    <t>711142559RZ3</t>
  </si>
  <si>
    <t>Izolace proti vlhkosti svislá pásy přitavením</t>
  </si>
  <si>
    <t>32</t>
  </si>
  <si>
    <t>998711101R00</t>
  </si>
  <si>
    <t>Přesun hmot pro izolace proti vodě, výšky do 6 m</t>
  </si>
  <si>
    <t>713</t>
  </si>
  <si>
    <t>Izolace tepelné</t>
  </si>
  <si>
    <t>33</t>
  </si>
  <si>
    <t>713131131R00</t>
  </si>
  <si>
    <t>Izolace tepelná stěn lepením</t>
  </si>
  <si>
    <t>713_</t>
  </si>
  <si>
    <t>28376377.A</t>
  </si>
  <si>
    <t>Deska polystyrén EPS PERIMETR 50 1250x600x 50 mm</t>
  </si>
  <si>
    <t>35</t>
  </si>
  <si>
    <t>998713101R00</t>
  </si>
  <si>
    <t>Přesun hmot pro izolace tepelné, výšky do 6 m</t>
  </si>
  <si>
    <t>725</t>
  </si>
  <si>
    <t>Zařizovací předměty</t>
  </si>
  <si>
    <t>36</t>
  </si>
  <si>
    <t>725330840R00</t>
  </si>
  <si>
    <t>Demontáž a montáž výlevky včetně propojení vody a odpadu</t>
  </si>
  <si>
    <t>soubor</t>
  </si>
  <si>
    <t>725_</t>
  </si>
  <si>
    <t>01_72_</t>
  </si>
  <si>
    <t>37</t>
  </si>
  <si>
    <t>998725101R00</t>
  </si>
  <si>
    <t>Přesun hmot pro zařizovací předměty, výšky do 6 m</t>
  </si>
  <si>
    <t>766</t>
  </si>
  <si>
    <t>Konstrukce truhlářské</t>
  </si>
  <si>
    <t>38</t>
  </si>
  <si>
    <t>766670011R00</t>
  </si>
  <si>
    <t>Montáž obložkové zárubně a dřevěného křídla dveří</t>
  </si>
  <si>
    <t>766_</t>
  </si>
  <si>
    <t>01_76_</t>
  </si>
  <si>
    <t>39</t>
  </si>
  <si>
    <t>766662112R00</t>
  </si>
  <si>
    <t>Montáž dveří vchodových 1kříd. š.do 80 cm</t>
  </si>
  <si>
    <t>40</t>
  </si>
  <si>
    <t>61160111</t>
  </si>
  <si>
    <t>Dveře vnitřní fólie KLASIK plné 1kř. 70x197 bílé</t>
  </si>
  <si>
    <t>41</t>
  </si>
  <si>
    <t>61181151</t>
  </si>
  <si>
    <t>Zárubeň obložková š. 60-90 cm/st. 65-140 mm</t>
  </si>
  <si>
    <t>42</t>
  </si>
  <si>
    <t>61173111</t>
  </si>
  <si>
    <t>Dveře vchodové plné plastové 70x197 cm včetně zárubně</t>
  </si>
  <si>
    <t>43</t>
  </si>
  <si>
    <t>998766101R00</t>
  </si>
  <si>
    <t>Přesun hmot pro truhlářské konstr., výšky do 6 m</t>
  </si>
  <si>
    <t>784</t>
  </si>
  <si>
    <t>Malby</t>
  </si>
  <si>
    <t>44</t>
  </si>
  <si>
    <t>784115212R00</t>
  </si>
  <si>
    <t>Malba Remal standard, bílá, bez penetr.,2 x</t>
  </si>
  <si>
    <t>784_</t>
  </si>
  <si>
    <t>01_78_</t>
  </si>
  <si>
    <t>87</t>
  </si>
  <si>
    <t>Potrubí z trub plastických, skleněných a čedičových</t>
  </si>
  <si>
    <t>871313121RT1</t>
  </si>
  <si>
    <t>Montáž trub z plastu, gumový kroužek, DN do 150</t>
  </si>
  <si>
    <t>87_</t>
  </si>
  <si>
    <t>01_8_</t>
  </si>
  <si>
    <t>včetně dodávky trub PVC hrdlových 110x3,0x5000</t>
  </si>
  <si>
    <t>46</t>
  </si>
  <si>
    <t>721211520R00</t>
  </si>
  <si>
    <t>Vpusť dvorní HL606, klapka, lapač</t>
  </si>
  <si>
    <t>47</t>
  </si>
  <si>
    <t>998276101R00</t>
  </si>
  <si>
    <t>Přesun hmot, trubní vedení plastová, otevř. výkop</t>
  </si>
  <si>
    <t>94</t>
  </si>
  <si>
    <t>Lešení a stavební výtahy</t>
  </si>
  <si>
    <t>48</t>
  </si>
  <si>
    <t>941955001R00</t>
  </si>
  <si>
    <t>Lešení lehké pomocné, výška podlahy do 1,2 m</t>
  </si>
  <si>
    <t>94_</t>
  </si>
  <si>
    <t>01_9_</t>
  </si>
  <si>
    <t>49</t>
  </si>
  <si>
    <t>941941031R00</t>
  </si>
  <si>
    <t>Montáž lešení leh.řad.s podlahami,š.do 1 m, H 10 m</t>
  </si>
  <si>
    <t>50</t>
  </si>
  <si>
    <t>941941111R00</t>
  </si>
  <si>
    <t>Pronájem lešení za den</t>
  </si>
  <si>
    <t>51</t>
  </si>
  <si>
    <t>941941831R00</t>
  </si>
  <si>
    <t>Demontáž lešení leh.řad.s podlahami,š.1 m, H 10 m</t>
  </si>
  <si>
    <t>96</t>
  </si>
  <si>
    <t>Bourání konstrukcí</t>
  </si>
  <si>
    <t>52</t>
  </si>
  <si>
    <t>962032231R00</t>
  </si>
  <si>
    <t>Bourání zdiva z cihel pálených na MVC</t>
  </si>
  <si>
    <t>96_</t>
  </si>
  <si>
    <t>53</t>
  </si>
  <si>
    <t>968061112R00</t>
  </si>
  <si>
    <t>Vyvěšení dřevěných okenních křídel pl. do 1,5 m2</t>
  </si>
  <si>
    <t>54</t>
  </si>
  <si>
    <t>968062354R00</t>
  </si>
  <si>
    <t>Vybourání dřevěných rámů oken dvojitých pl. 1 m2</t>
  </si>
  <si>
    <t>55</t>
  </si>
  <si>
    <t>968062355R00</t>
  </si>
  <si>
    <t>Vybourání dřevěných rámů oken dvojitých pl. 2 m2</t>
  </si>
  <si>
    <t>56</t>
  </si>
  <si>
    <t>968062455R00</t>
  </si>
  <si>
    <t>Vybourání dřevěných dveřních zárubní pl. do 2 m2</t>
  </si>
  <si>
    <t>97</t>
  </si>
  <si>
    <t>Prorážení otvorů a ostatní bourací práce</t>
  </si>
  <si>
    <t>57</t>
  </si>
  <si>
    <t>973031325R00</t>
  </si>
  <si>
    <t>Vysekání kapes zeď cihel. MVC, pl. 0,1m2, hl. 30cm</t>
  </si>
  <si>
    <t>97_</t>
  </si>
  <si>
    <t>58</t>
  </si>
  <si>
    <t>973031326R00</t>
  </si>
  <si>
    <t>Vysekání kapes zeď cihel. MVC, pl. 0,1m2, hl. 45cm</t>
  </si>
  <si>
    <t>H99</t>
  </si>
  <si>
    <t>Ostatní přesuny hmot</t>
  </si>
  <si>
    <t>999281145R00</t>
  </si>
  <si>
    <t>Přesun hmot pro opravy a údržbu do v. 6 m,</t>
  </si>
  <si>
    <t>H99_</t>
  </si>
  <si>
    <t>M22</t>
  </si>
  <si>
    <t>Montáže sdělovací a zabezpečovací techniky</t>
  </si>
  <si>
    <t>60</t>
  </si>
  <si>
    <t>220060663R00</t>
  </si>
  <si>
    <t>Přeložka sdělovacího kabelu, ručně (po dohodě s majitelem sítě – cena odhad)</t>
  </si>
  <si>
    <t>M22_</t>
  </si>
  <si>
    <t>M33</t>
  </si>
  <si>
    <t>Montáže dopravních zařízení a vah</t>
  </si>
  <si>
    <t>330030052R00</t>
  </si>
  <si>
    <t>Dodávka a montáž výtahu včetně opláštění, 2 stanice 2 nástupiště dle nabídky</t>
  </si>
  <si>
    <t>M33_</t>
  </si>
  <si>
    <t>M46</t>
  </si>
  <si>
    <t>Zemní práce při montážích</t>
  </si>
  <si>
    <t>460200032RT2</t>
  </si>
  <si>
    <t>Výkop kabelové rýhy 20/80 cm, hornina 2</t>
  </si>
  <si>
    <t>M46_</t>
  </si>
  <si>
    <t>ruční výkop rýhy</t>
  </si>
  <si>
    <t>63</t>
  </si>
  <si>
    <t>460560005RT1</t>
  </si>
  <si>
    <t>Zához rýhy 20/50 cm, hornina třídy 5</t>
  </si>
  <si>
    <t>ruční zához rýhy</t>
  </si>
  <si>
    <t>64</t>
  </si>
  <si>
    <t>460620013R00</t>
  </si>
  <si>
    <t>Provizorní úprava terénu v přírodní hornině 3</t>
  </si>
  <si>
    <t>S</t>
  </si>
  <si>
    <t>Přesuny sutí</t>
  </si>
  <si>
    <t>65</t>
  </si>
  <si>
    <t>979082111R00</t>
  </si>
  <si>
    <t>Vnitrostaveništní doprava suti do 10 m</t>
  </si>
  <si>
    <t>S_</t>
  </si>
  <si>
    <t>66</t>
  </si>
  <si>
    <t>979081111R00</t>
  </si>
  <si>
    <t>Odvoz suti a vybour. hmot na skládku do 1 km</t>
  </si>
  <si>
    <t>67</t>
  </si>
  <si>
    <t>979081121R00</t>
  </si>
  <si>
    <t>Příplatek k odvozu za každý další 1 km</t>
  </si>
  <si>
    <t>68</t>
  </si>
  <si>
    <t>979990105R00</t>
  </si>
  <si>
    <t xml:space="preserve">Poplatek za skládku suti-cihel.výrobky </t>
  </si>
  <si>
    <t>02</t>
  </si>
  <si>
    <t>Zpevněné plochy</t>
  </si>
  <si>
    <t>Odkopávky a prokopávky</t>
  </si>
  <si>
    <t>69</t>
  </si>
  <si>
    <t>122201101R00</t>
  </si>
  <si>
    <t>Odkopávky nezapažené v hor. 3 do 100 m3</t>
  </si>
  <si>
    <t>12_</t>
  </si>
  <si>
    <t>02_1_</t>
  </si>
  <si>
    <t>02_</t>
  </si>
  <si>
    <t>70</t>
  </si>
  <si>
    <t>71</t>
  </si>
  <si>
    <t>171201201R00</t>
  </si>
  <si>
    <t>Uložení sypaniny na skl.-sypanina na výšku přes 2m</t>
  </si>
  <si>
    <t>72</t>
  </si>
  <si>
    <t>199000005R00</t>
  </si>
  <si>
    <t>Poplatek za skládku zeminy 1- 4</t>
  </si>
  <si>
    <t>73</t>
  </si>
  <si>
    <t>Podkladní vrstvy komunikací, letišť a ploch</t>
  </si>
  <si>
    <t>74</t>
  </si>
  <si>
    <t>564851111RT4</t>
  </si>
  <si>
    <t>Podklad ze štěrkodrti po zhutnění tloušťky 15 cm</t>
  </si>
  <si>
    <t>56_</t>
  </si>
  <si>
    <t>02_5_</t>
  </si>
  <si>
    <t>štěrkodrť frakce 0-63 mm</t>
  </si>
  <si>
    <t>75</t>
  </si>
  <si>
    <t>564851111RT2</t>
  </si>
  <si>
    <t>štěrkodrť frakce 0-32 mm</t>
  </si>
  <si>
    <t>76</t>
  </si>
  <si>
    <t>596215040R00</t>
  </si>
  <si>
    <t>Kladení zámkové dlažby tl. 8 cm do drtě tl. 3 cm</t>
  </si>
  <si>
    <t>77</t>
  </si>
  <si>
    <t>592452655</t>
  </si>
  <si>
    <t>Dlažba zámková  KLASIKO přírodní 20x10x8</t>
  </si>
  <si>
    <t>91</t>
  </si>
  <si>
    <t>Doplňující konstrukce a práce na pozemních komunikacích a zpevněných plochách</t>
  </si>
  <si>
    <t>78</t>
  </si>
  <si>
    <t>917762111RT7</t>
  </si>
  <si>
    <t>Osazení ležat. obrub. bet. s opěrou,lože z C 12/15</t>
  </si>
  <si>
    <t>91_</t>
  </si>
  <si>
    <t>02_9_</t>
  </si>
  <si>
    <t>včetně obrubníku ABO 2-15 100/15/25</t>
  </si>
  <si>
    <t>79</t>
  </si>
  <si>
    <t>917862111RT5</t>
  </si>
  <si>
    <t>Osazení stojat. obrub.bet. s opěrou,lože z C 12/15</t>
  </si>
  <si>
    <t>včetně obrubníku ABO 100/10/25</t>
  </si>
  <si>
    <t>80</t>
  </si>
  <si>
    <t>721242115R00</t>
  </si>
  <si>
    <t>Úprava zaústění okapových svodů do kanalizace ( litinový DN 100)</t>
  </si>
  <si>
    <t>H22</t>
  </si>
  <si>
    <t>Komunikace pozemní a letiště</t>
  </si>
  <si>
    <t>81</t>
  </si>
  <si>
    <t>998223011R00</t>
  </si>
  <si>
    <t>Přesun hmot, pozemní komunikace, kryt dlážděný</t>
  </si>
  <si>
    <t>H22_</t>
  </si>
  <si>
    <t>Celkem:</t>
  </si>
  <si>
    <t>Poznámka: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</si>
  <si>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</si>
  <si>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</si>
  <si>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</si>
  <si>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</si>
  <si>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</si>
  <si>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</si>
  <si>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</si>
  <si>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</si>
  <si>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Výkaz výměr</t>
  </si>
  <si>
    <t>Potřebné množství</t>
  </si>
  <si>
    <t>147,6*0,41   </t>
  </si>
  <si>
    <t>3*3,3*0,8   </t>
  </si>
  <si>
    <t>(2*2,13+1,76)*0,4*0,4   pasy zákl.</t>
  </si>
  <si>
    <t>6*0,6*1,2   kamalizace</t>
  </si>
  <si>
    <t>7,93-4,64   </t>
  </si>
  <si>
    <t>7,93-(2,26*2,08*0,7)   </t>
  </si>
  <si>
    <t>6*0,6*0,3   dešť.</t>
  </si>
  <si>
    <t>6*0,6*0,6   dešť.</t>
  </si>
  <si>
    <t>60,5*1,6   </t>
  </si>
  <si>
    <t>1,56*1,73   </t>
  </si>
  <si>
    <t>2,7*0,05   </t>
  </si>
  <si>
    <t>(2*2,13+1,76)*0,4*0,4   </t>
  </si>
  <si>
    <t>2,16*2,03*0,3   </t>
  </si>
  <si>
    <t>(2,03*2+2,16)*0,3   </t>
  </si>
  <si>
    <t>(2,03*2+1,76)*0,75   </t>
  </si>
  <si>
    <t>(5,9*3+5,9*2*0,75)*1,1*0,00617   </t>
  </si>
  <si>
    <t>1,25*7*0,0188*1,01   </t>
  </si>
  <si>
    <t>2,35*2*0,0224*1,01   </t>
  </si>
  <si>
    <t>2,35*0,2*0,3   </t>
  </si>
  <si>
    <t>1,25*0,18*0,45+1,25*0,18*0,3*2   </t>
  </si>
  <si>
    <t>1   výtah 1NP</t>
  </si>
  <si>
    <t>0,9*1*0,3   výtah 2NP</t>
  </si>
  <si>
    <t>0,15*4   sklad 1NP</t>
  </si>
  <si>
    <t>6*0,6*0,1   dešť.</t>
  </si>
  <si>
    <t>Žlab odvodňovací SELF LINE 100, dl.1000 mm, A15</t>
  </si>
  <si>
    <t>2,4+2,1+0,7   dveře 1NP</t>
  </si>
  <si>
    <t>1,5*2   dveře výtah 1NP a 2NP</t>
  </si>
  <si>
    <t>0,8   chodba 2NP</t>
  </si>
  <si>
    <t>3   omítka zazdívek oken</t>
  </si>
  <si>
    <t>(2,08*2+2,26)*0,45   </t>
  </si>
  <si>
    <t>2,16*2,13   </t>
  </si>
  <si>
    <t>(2,16+2,03)*2*1,05   </t>
  </si>
  <si>
    <t>Demontáž výlevky ocelové nebo litinové</t>
  </si>
  <si>
    <t>1   sklad 1NP</t>
  </si>
  <si>
    <t>   vchodové</t>
  </si>
  <si>
    <t>Dveře vchodové plné palubkové 70x197 cm model A</t>
  </si>
  <si>
    <t>917762111RT5</t>
  </si>
  <si>
    <t>Lapač střešních splavenin litinový DN 100</t>
  </si>
  <si>
    <t>30   </t>
  </si>
  <si>
    <t>2*7   </t>
  </si>
  <si>
    <t>2*7*30   </t>
  </si>
  <si>
    <t>1*2,1*0,5-0,6*0,6*0,5   dveře vchodové 1NP</t>
  </si>
  <si>
    <t>1*1,2*0,3   dveře výtahu 1NP</t>
  </si>
  <si>
    <t>2,05*2,6*0,3-0,9*2*0,3   příčka chodba 1NP</t>
  </si>
  <si>
    <t>1*0,8*0,3   dveře výtahu 2NP</t>
  </si>
  <si>
    <t>0,6*0,6   okno 1NP</t>
  </si>
  <si>
    <t>0,9*1,2   okno 1NP</t>
  </si>
  <si>
    <t>0,9*2,4   okno 2NP</t>
  </si>
  <si>
    <t>0,6*0,6   okno 1 NP</t>
  </si>
  <si>
    <t>0,9*1,2   okno 1 NP</t>
  </si>
  <si>
    <t>0,8*2   dveře 2NP</t>
  </si>
  <si>
    <t>8   pro překlady výtahových dveří</t>
  </si>
  <si>
    <t>4   překlady chodba 1 NP</t>
  </si>
  <si>
    <t>6   pro překlady vchod. dveří</t>
  </si>
  <si>
    <t>Uložení sdělovacího kabelu volně, ručně</t>
  </si>
  <si>
    <t>Dodávka a montáž výtahu dle nabídky včetně opláštění, 2 stanice 2 nástupiště</t>
  </si>
  <si>
    <t>4,93*9   </t>
  </si>
  <si>
    <t>Poplatek za skládku suti-cihel.výrobky do 30x30 cm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</si>
  <si>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</si>
  <si>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</si>
  <si>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</si>
  <si>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</si>
  <si>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</si>
  <si>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</si>
  <si>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</si>
  <si>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</si>
  <si>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C</t>
  </si>
  <si>
    <t>Náklady na umístění stavby (NUS)</t>
  </si>
  <si>
    <t>HSV</t>
  </si>
  <si>
    <t>Dodávky</t>
  </si>
  <si>
    <t>Zařízení staveniště</t>
  </si>
  <si>
    <t>Mimostav. doprava</t>
  </si>
  <si>
    <t>PSV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</si>
  <si>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</si>
  <si>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</si>
  <si>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</si>
  <si>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</si>
  <si>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</si>
  <si>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</si>
  <si>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</si>
  <si>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</si>
  <si>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</si>
  <si>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</si>
  <si>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</si>
  <si>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</si>
  <si>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</si>
  <si>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</si>
  <si>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</si>
  <si>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</si>
  <si>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</si>
  <si>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</si>
  <si>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</si>
  <si>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</si>
  <si>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</si>
  <si>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</si>
  <si>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</si>
  <si>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</si>
  <si>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Kč</t>
  </si>
  <si>
    <t>Základna</t>
  </si>
  <si>
    <t>Celkem NUS</t>
  </si>
  <si>
    <t>Celkem VRN</t>
  </si>
  <si>
    <t> Ing. arch. Jiří Neužil</t>
  </si>
  <si>
    <t>Malba standard, bílá, bez penetr.,2 x</t>
  </si>
  <si>
    <t>Dveře vnitřní HPL plné 1kř. 70x197 bílé</t>
  </si>
  <si>
    <t>Vedlejší rozpočtové náklady</t>
  </si>
  <si>
    <t>Dokumentace skutečného provedení, fotodokumentace</t>
  </si>
  <si>
    <t>Geodetické vytýčení, zaměření vč. geometrického plánu pro vklad do KN</t>
  </si>
  <si>
    <t>Výrobní dokumentace</t>
  </si>
  <si>
    <t>Provozní vlivy - stavba za provozu objednatele</t>
  </si>
  <si>
    <t xml:space="preserve">Náklady na zajištění bezpečnosti práce a požární dohled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</si>
</sst>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2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" fontId="3" fillId="33" borderId="23" xfId="0" applyNumberFormat="1" applyFont="1" applyFill="1" applyBorder="1" applyAlignment="1" applyProtection="1">
      <alignment horizontal="right" vertical="center"/>
      <protection/>
    </xf>
    <xf numFmtId="49" fontId="3" fillId="33" borderId="23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" fontId="2" fillId="0" borderId="24" xfId="0" applyNumberFormat="1" applyFont="1" applyFill="1" applyBorder="1" applyAlignment="1" applyProtection="1">
      <alignment horizontal="right" vertical="center"/>
      <protection/>
    </xf>
    <xf numFmtId="49" fontId="2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4" fontId="10" fillId="0" borderId="29" xfId="0" applyNumberFormat="1" applyFont="1" applyFill="1" applyBorder="1" applyAlignment="1" applyProtection="1">
      <alignment horizontal="righ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vertical="center"/>
      <protection/>
    </xf>
    <xf numFmtId="4" fontId="9" fillId="33" borderId="35" xfId="0" applyNumberFormat="1" applyFont="1" applyFill="1" applyBorder="1" applyAlignment="1" applyProtection="1">
      <alignment horizontal="right" vertical="center"/>
      <protection/>
    </xf>
    <xf numFmtId="0" fontId="2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NumberFormat="1" applyFont="1" applyFill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 applyProtection="1">
      <alignment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4" fontId="2" fillId="0" borderId="29" xfId="0" applyNumberFormat="1" applyFont="1" applyFill="1" applyBorder="1" applyAlignment="1" applyProtection="1">
      <alignment horizontal="righ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0" fontId="2" fillId="0" borderId="41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right" vertical="center"/>
      <protection/>
    </xf>
    <xf numFmtId="4" fontId="2" fillId="0" borderId="29" xfId="0" applyNumberFormat="1" applyFont="1" applyFill="1" applyBorder="1" applyAlignment="1" applyProtection="1">
      <alignment horizontal="right" vertical="center"/>
      <protection locked="0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43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49" fontId="9" fillId="33" borderId="46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48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" fontId="9" fillId="0" borderId="4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7"/>
  <sheetViews>
    <sheetView zoomScalePageLayoutView="0" workbookViewId="0" topLeftCell="A1">
      <pane ySplit="11" topLeftCell="A141" activePane="bottomLeft" state="frozen"/>
      <selection pane="topLeft" activeCell="A1" sqref="A1"/>
      <selection pane="bottomLeft" activeCell="D79" sqref="D79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8.14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ht="14.25" customHeight="1">
      <c r="A2" s="86" t="s">
        <v>1</v>
      </c>
      <c r="B2" s="86"/>
      <c r="C2" s="86"/>
      <c r="D2" s="87" t="s">
        <v>2</v>
      </c>
      <c r="E2" s="88" t="s">
        <v>3</v>
      </c>
      <c r="F2" s="88"/>
      <c r="G2" s="88" t="s">
        <v>4</v>
      </c>
      <c r="H2" s="89" t="s">
        <v>5</v>
      </c>
      <c r="I2" s="90" t="s">
        <v>6</v>
      </c>
      <c r="J2" s="90"/>
      <c r="K2" s="90"/>
      <c r="L2" s="90"/>
      <c r="M2" s="90"/>
      <c r="N2" s="1"/>
    </row>
    <row r="3" spans="1:14" ht="12.75">
      <c r="A3" s="86"/>
      <c r="B3" s="86"/>
      <c r="C3" s="86"/>
      <c r="D3" s="87"/>
      <c r="E3" s="88"/>
      <c r="F3" s="88"/>
      <c r="G3" s="88"/>
      <c r="H3" s="88"/>
      <c r="I3" s="88"/>
      <c r="J3" s="90"/>
      <c r="K3" s="90"/>
      <c r="L3" s="90"/>
      <c r="M3" s="90"/>
      <c r="N3" s="1"/>
    </row>
    <row r="4" spans="1:14" ht="12.75" customHeight="1">
      <c r="A4" s="82" t="s">
        <v>7</v>
      </c>
      <c r="B4" s="82"/>
      <c r="C4" s="82"/>
      <c r="D4" s="77" t="s">
        <v>4</v>
      </c>
      <c r="E4" s="83" t="s">
        <v>8</v>
      </c>
      <c r="F4" s="83"/>
      <c r="G4" s="83" t="s">
        <v>9</v>
      </c>
      <c r="H4" s="77" t="s">
        <v>10</v>
      </c>
      <c r="I4" s="84" t="s">
        <v>513</v>
      </c>
      <c r="J4" s="84"/>
      <c r="K4" s="84"/>
      <c r="L4" s="84"/>
      <c r="M4" s="84"/>
      <c r="N4" s="1"/>
    </row>
    <row r="5" spans="1:14" ht="12.75">
      <c r="A5" s="82"/>
      <c r="B5" s="82"/>
      <c r="C5" s="82"/>
      <c r="D5" s="77"/>
      <c r="E5" s="77"/>
      <c r="F5" s="83"/>
      <c r="G5" s="83"/>
      <c r="H5" s="83"/>
      <c r="I5" s="83"/>
      <c r="J5" s="84"/>
      <c r="K5" s="84"/>
      <c r="L5" s="84"/>
      <c r="M5" s="84"/>
      <c r="N5" s="1"/>
    </row>
    <row r="6" spans="1:14" ht="12.75" customHeight="1">
      <c r="A6" s="82" t="s">
        <v>11</v>
      </c>
      <c r="B6" s="82"/>
      <c r="C6" s="82"/>
      <c r="D6" s="77" t="s">
        <v>12</v>
      </c>
      <c r="E6" s="83" t="s">
        <v>13</v>
      </c>
      <c r="F6" s="83"/>
      <c r="G6" s="83" t="s">
        <v>4</v>
      </c>
      <c r="H6" s="77" t="s">
        <v>14</v>
      </c>
      <c r="I6" s="84" t="s">
        <v>6</v>
      </c>
      <c r="J6" s="84"/>
      <c r="K6" s="84"/>
      <c r="L6" s="84"/>
      <c r="M6" s="84"/>
      <c r="N6" s="1"/>
    </row>
    <row r="7" spans="1:14" ht="12.75">
      <c r="A7" s="82"/>
      <c r="B7" s="82"/>
      <c r="C7" s="82"/>
      <c r="D7" s="77"/>
      <c r="E7" s="77"/>
      <c r="F7" s="83"/>
      <c r="G7" s="83"/>
      <c r="H7" s="83"/>
      <c r="I7" s="83"/>
      <c r="J7" s="84"/>
      <c r="K7" s="84"/>
      <c r="L7" s="84"/>
      <c r="M7" s="84"/>
      <c r="N7" s="1"/>
    </row>
    <row r="8" spans="1:14" ht="12.75" customHeight="1">
      <c r="A8" s="78" t="s">
        <v>15</v>
      </c>
      <c r="B8" s="78"/>
      <c r="C8" s="78"/>
      <c r="D8" s="79" t="s">
        <v>4</v>
      </c>
      <c r="E8" s="80" t="s">
        <v>16</v>
      </c>
      <c r="F8" s="80"/>
      <c r="G8" s="80" t="s">
        <v>9</v>
      </c>
      <c r="H8" s="79" t="s">
        <v>17</v>
      </c>
      <c r="I8" s="81" t="s">
        <v>6</v>
      </c>
      <c r="J8" s="81"/>
      <c r="K8" s="81"/>
      <c r="L8" s="81"/>
      <c r="M8" s="81"/>
      <c r="N8" s="1"/>
    </row>
    <row r="9" spans="1:14" ht="12.75">
      <c r="A9" s="78"/>
      <c r="B9" s="78"/>
      <c r="C9" s="78"/>
      <c r="D9" s="79"/>
      <c r="E9" s="79"/>
      <c r="F9" s="80"/>
      <c r="G9" s="80"/>
      <c r="H9" s="80"/>
      <c r="I9" s="80"/>
      <c r="J9" s="81"/>
      <c r="K9" s="81"/>
      <c r="L9" s="81"/>
      <c r="M9" s="81"/>
      <c r="N9" s="1"/>
    </row>
    <row r="10" spans="1:14" ht="12.75">
      <c r="A10" s="4" t="s">
        <v>18</v>
      </c>
      <c r="B10" s="5" t="s">
        <v>19</v>
      </c>
      <c r="C10" s="5" t="s">
        <v>20</v>
      </c>
      <c r="D10" s="5" t="s">
        <v>21</v>
      </c>
      <c r="E10" s="5" t="s">
        <v>22</v>
      </c>
      <c r="F10" s="6" t="s">
        <v>23</v>
      </c>
      <c r="G10" s="7" t="s">
        <v>24</v>
      </c>
      <c r="H10" s="75" t="s">
        <v>25</v>
      </c>
      <c r="I10" s="75"/>
      <c r="J10" s="75"/>
      <c r="K10" s="75" t="s">
        <v>26</v>
      </c>
      <c r="L10" s="75"/>
      <c r="M10" s="8" t="s">
        <v>27</v>
      </c>
      <c r="N10" s="9"/>
    </row>
    <row r="11" spans="1:62" ht="12.75">
      <c r="A11" s="10" t="s">
        <v>4</v>
      </c>
      <c r="B11" s="11" t="s">
        <v>4</v>
      </c>
      <c r="C11" s="11" t="s">
        <v>4</v>
      </c>
      <c r="D11" s="12" t="s">
        <v>28</v>
      </c>
      <c r="E11" s="11" t="s">
        <v>4</v>
      </c>
      <c r="F11" s="11" t="s">
        <v>4</v>
      </c>
      <c r="G11" s="13" t="s">
        <v>29</v>
      </c>
      <c r="H11" s="14" t="s">
        <v>30</v>
      </c>
      <c r="I11" s="15" t="s">
        <v>31</v>
      </c>
      <c r="J11" s="16" t="s">
        <v>32</v>
      </c>
      <c r="K11" s="14" t="s">
        <v>33</v>
      </c>
      <c r="L11" s="16" t="s">
        <v>32</v>
      </c>
      <c r="M11" s="17" t="s">
        <v>34</v>
      </c>
      <c r="N11" s="9"/>
      <c r="Z11" s="18" t="s">
        <v>35</v>
      </c>
      <c r="AA11" s="18" t="s">
        <v>36</v>
      </c>
      <c r="AB11" s="18" t="s">
        <v>37</v>
      </c>
      <c r="AC11" s="18" t="s">
        <v>38</v>
      </c>
      <c r="AD11" s="18" t="s">
        <v>39</v>
      </c>
      <c r="AE11" s="18" t="s">
        <v>40</v>
      </c>
      <c r="AF11" s="18" t="s">
        <v>41</v>
      </c>
      <c r="AG11" s="18" t="s">
        <v>42</v>
      </c>
      <c r="AH11" s="18" t="s">
        <v>43</v>
      </c>
      <c r="BH11" s="18" t="s">
        <v>44</v>
      </c>
      <c r="BI11" s="18" t="s">
        <v>45</v>
      </c>
      <c r="BJ11" s="18" t="s">
        <v>46</v>
      </c>
    </row>
    <row r="12" spans="1:13" ht="12.75">
      <c r="A12" s="19"/>
      <c r="B12" s="20" t="s">
        <v>47</v>
      </c>
      <c r="C12" s="20"/>
      <c r="D12" s="20" t="s">
        <v>48</v>
      </c>
      <c r="E12" s="19" t="s">
        <v>4</v>
      </c>
      <c r="F12" s="19" t="s">
        <v>4</v>
      </c>
      <c r="G12" s="19" t="s">
        <v>4</v>
      </c>
      <c r="H12" s="21">
        <f>H13+H16+H18+H22+H24+H33+H46+H48+H50+H52+H55+H57+H67+H71+H74+H81+H83+H88+H93+H99+H102+H104+H106+H108+H114</f>
        <v>0</v>
      </c>
      <c r="I12" s="21">
        <f>I13+I16+I18+I22+I24+I33+I46+I48+I50+I52+I55+I57+I67+I71+I74+I81+I83+I88+I93+I99+I102+I104+I106+I108+I114</f>
        <v>0</v>
      </c>
      <c r="J12" s="21">
        <f>J13+J16+J18+J22+J24+J33+J46+J48+J50+J52+J55+J57+J67+J71+J74+J81+J83+J88+J93+J99+J102+J104+J106+J108+J114</f>
        <v>0</v>
      </c>
      <c r="K12" s="22"/>
      <c r="L12" s="21">
        <f>L13+L16+L18+L22+L24+L33+L46+L48+L50+L52+L55+L57+L67+L71+L74+L81+L83+L88+L93+L99+L102+L104+L106+L108+L114</f>
        <v>18.2719529751</v>
      </c>
      <c r="M12" s="22"/>
    </row>
    <row r="13" spans="1:47" ht="12.75">
      <c r="A13" s="23"/>
      <c r="B13" s="24" t="s">
        <v>47</v>
      </c>
      <c r="C13" s="24" t="s">
        <v>49</v>
      </c>
      <c r="D13" s="24" t="s">
        <v>50</v>
      </c>
      <c r="E13" s="23" t="s">
        <v>4</v>
      </c>
      <c r="F13" s="23" t="s">
        <v>4</v>
      </c>
      <c r="G13" s="23" t="s">
        <v>4</v>
      </c>
      <c r="H13" s="25">
        <f>SUM(H14:H15)</f>
        <v>0</v>
      </c>
      <c r="I13" s="25">
        <f>SUM(I14:I15)</f>
        <v>0</v>
      </c>
      <c r="J13" s="25">
        <f>SUM(J14:J15)</f>
        <v>0</v>
      </c>
      <c r="K13" s="18"/>
      <c r="L13" s="25">
        <f>SUM(L14:L15)</f>
        <v>0</v>
      </c>
      <c r="M13" s="18"/>
      <c r="AI13" s="18" t="s">
        <v>47</v>
      </c>
      <c r="AS13" s="25">
        <f>SUM(AJ14:AJ15)</f>
        <v>0</v>
      </c>
      <c r="AT13" s="25">
        <f>SUM(AK14:AK15)</f>
        <v>0</v>
      </c>
      <c r="AU13" s="25">
        <f>SUM(AL14:AL15)</f>
        <v>0</v>
      </c>
    </row>
    <row r="14" spans="1:62" ht="12.75">
      <c r="A14" s="3" t="s">
        <v>51</v>
      </c>
      <c r="B14" s="3" t="s">
        <v>47</v>
      </c>
      <c r="C14" s="3" t="s">
        <v>52</v>
      </c>
      <c r="D14" s="3" t="s">
        <v>53</v>
      </c>
      <c r="E14" s="3" t="s">
        <v>54</v>
      </c>
      <c r="F14" s="26">
        <v>7.92</v>
      </c>
      <c r="G14" s="26"/>
      <c r="H14" s="26">
        <f>F14*AO14</f>
        <v>0</v>
      </c>
      <c r="I14" s="26">
        <f>F14*AP14</f>
        <v>0</v>
      </c>
      <c r="J14" s="26">
        <f>F14*G14</f>
        <v>0</v>
      </c>
      <c r="K14" s="26">
        <v>0</v>
      </c>
      <c r="L14" s="26">
        <f>F14*K14</f>
        <v>0</v>
      </c>
      <c r="M14" s="27" t="s">
        <v>55</v>
      </c>
      <c r="Z14" s="26">
        <f>IF(AQ14="5",BJ14,0)</f>
        <v>0</v>
      </c>
      <c r="AB14" s="26">
        <f>IF(AQ14="1",BH14,0)</f>
        <v>0</v>
      </c>
      <c r="AC14" s="26">
        <f>IF(AQ14="1",BI14,0)</f>
        <v>0</v>
      </c>
      <c r="AD14" s="26">
        <f>IF(AQ14="7",BH14,0)</f>
        <v>0</v>
      </c>
      <c r="AE14" s="26">
        <f>IF(AQ14="7",BI14,0)</f>
        <v>0</v>
      </c>
      <c r="AF14" s="26">
        <f>IF(AQ14="2",BH14,0)</f>
        <v>0</v>
      </c>
      <c r="AG14" s="26">
        <f>IF(AQ14="2",BI14,0)</f>
        <v>0</v>
      </c>
      <c r="AH14" s="26">
        <f>IF(AQ14="0",BJ14,0)</f>
        <v>0</v>
      </c>
      <c r="AI14" s="18" t="s">
        <v>47</v>
      </c>
      <c r="AJ14" s="26">
        <f>IF(AN14=0,J14,0)</f>
        <v>0</v>
      </c>
      <c r="AK14" s="26">
        <f>IF(AN14=15,J14,0)</f>
        <v>0</v>
      </c>
      <c r="AL14" s="26">
        <f>IF(AN14=21,J14,0)</f>
        <v>0</v>
      </c>
      <c r="AN14" s="26">
        <v>21</v>
      </c>
      <c r="AO14" s="26">
        <f>G14*0</f>
        <v>0</v>
      </c>
      <c r="AP14" s="26">
        <f>G14*(1-0)</f>
        <v>0</v>
      </c>
      <c r="AQ14" s="27" t="s">
        <v>51</v>
      </c>
      <c r="AV14" s="26">
        <f>AW14+AX14</f>
        <v>0</v>
      </c>
      <c r="AW14" s="26">
        <f>F14*AO14</f>
        <v>0</v>
      </c>
      <c r="AX14" s="26">
        <f>F14*AP14</f>
        <v>0</v>
      </c>
      <c r="AY14" s="27" t="s">
        <v>56</v>
      </c>
      <c r="AZ14" s="27" t="s">
        <v>57</v>
      </c>
      <c r="BA14" s="18" t="s">
        <v>58</v>
      </c>
      <c r="BC14" s="26">
        <f>AW14+AX14</f>
        <v>0</v>
      </c>
      <c r="BD14" s="26">
        <f>G14/(100-BE14)*100</f>
        <v>0</v>
      </c>
      <c r="BE14" s="26">
        <v>0</v>
      </c>
      <c r="BF14" s="26">
        <f>L14</f>
        <v>0</v>
      </c>
      <c r="BH14" s="26">
        <f>F14*AO14</f>
        <v>0</v>
      </c>
      <c r="BI14" s="26">
        <f>F14*AP14</f>
        <v>0</v>
      </c>
      <c r="BJ14" s="26">
        <f>F14*G14</f>
        <v>0</v>
      </c>
    </row>
    <row r="15" spans="1:62" ht="12.75">
      <c r="A15" s="3" t="s">
        <v>59</v>
      </c>
      <c r="B15" s="3" t="s">
        <v>47</v>
      </c>
      <c r="C15" s="3" t="s">
        <v>60</v>
      </c>
      <c r="D15" s="3" t="s">
        <v>61</v>
      </c>
      <c r="E15" s="3" t="s">
        <v>54</v>
      </c>
      <c r="F15" s="26">
        <v>5.2832</v>
      </c>
      <c r="G15" s="26"/>
      <c r="H15" s="26">
        <f>F15*AO15</f>
        <v>0</v>
      </c>
      <c r="I15" s="26">
        <f>F15*AP15</f>
        <v>0</v>
      </c>
      <c r="J15" s="26">
        <f>F15*G15</f>
        <v>0</v>
      </c>
      <c r="K15" s="26">
        <v>0</v>
      </c>
      <c r="L15" s="26">
        <f>F15*K15</f>
        <v>0</v>
      </c>
      <c r="M15" s="27" t="s">
        <v>55</v>
      </c>
      <c r="Z15" s="26">
        <f>IF(AQ15="5",BJ15,0)</f>
        <v>0</v>
      </c>
      <c r="AB15" s="26">
        <f>IF(AQ15="1",BH15,0)</f>
        <v>0</v>
      </c>
      <c r="AC15" s="26">
        <f>IF(AQ15="1",BI15,0)</f>
        <v>0</v>
      </c>
      <c r="AD15" s="26">
        <f>IF(AQ15="7",BH15,0)</f>
        <v>0</v>
      </c>
      <c r="AE15" s="26">
        <f>IF(AQ15="7",BI15,0)</f>
        <v>0</v>
      </c>
      <c r="AF15" s="26">
        <f>IF(AQ15="2",BH15,0)</f>
        <v>0</v>
      </c>
      <c r="AG15" s="26">
        <f>IF(AQ15="2",BI15,0)</f>
        <v>0</v>
      </c>
      <c r="AH15" s="26">
        <f>IF(AQ15="0",BJ15,0)</f>
        <v>0</v>
      </c>
      <c r="AI15" s="18" t="s">
        <v>47</v>
      </c>
      <c r="AJ15" s="26">
        <f>IF(AN15=0,J15,0)</f>
        <v>0</v>
      </c>
      <c r="AK15" s="26">
        <f>IF(AN15=15,J15,0)</f>
        <v>0</v>
      </c>
      <c r="AL15" s="26">
        <f>IF(AN15=21,J15,0)</f>
        <v>0</v>
      </c>
      <c r="AN15" s="26">
        <v>21</v>
      </c>
      <c r="AO15" s="26">
        <f>G15*0</f>
        <v>0</v>
      </c>
      <c r="AP15" s="26">
        <f>G15*(1-0)</f>
        <v>0</v>
      </c>
      <c r="AQ15" s="27" t="s">
        <v>51</v>
      </c>
      <c r="AV15" s="26">
        <f>AW15+AX15</f>
        <v>0</v>
      </c>
      <c r="AW15" s="26">
        <f>F15*AO15</f>
        <v>0</v>
      </c>
      <c r="AX15" s="26">
        <f>F15*AP15</f>
        <v>0</v>
      </c>
      <c r="AY15" s="27" t="s">
        <v>56</v>
      </c>
      <c r="AZ15" s="27" t="s">
        <v>57</v>
      </c>
      <c r="BA15" s="18" t="s">
        <v>58</v>
      </c>
      <c r="BC15" s="26">
        <f>AW15+AX15</f>
        <v>0</v>
      </c>
      <c r="BD15" s="26">
        <f>G15/(100-BE15)*100</f>
        <v>0</v>
      </c>
      <c r="BE15" s="26">
        <v>0</v>
      </c>
      <c r="BF15" s="26">
        <f>L15</f>
        <v>0</v>
      </c>
      <c r="BH15" s="26">
        <f>F15*AO15</f>
        <v>0</v>
      </c>
      <c r="BI15" s="26">
        <f>F15*AP15</f>
        <v>0</v>
      </c>
      <c r="BJ15" s="26">
        <f>F15*G15</f>
        <v>0</v>
      </c>
    </row>
    <row r="16" spans="1:47" ht="12.75">
      <c r="A16" s="23"/>
      <c r="B16" s="24" t="s">
        <v>47</v>
      </c>
      <c r="C16" s="24" t="s">
        <v>62</v>
      </c>
      <c r="D16" s="24" t="s">
        <v>63</v>
      </c>
      <c r="E16" s="23" t="s">
        <v>4</v>
      </c>
      <c r="F16" s="23" t="s">
        <v>4</v>
      </c>
      <c r="G16" s="23"/>
      <c r="H16" s="25">
        <f>SUM(H17:H17)</f>
        <v>0</v>
      </c>
      <c r="I16" s="25">
        <f>SUM(I17:I17)</f>
        <v>0</v>
      </c>
      <c r="J16" s="25">
        <f>SUM(J17:J17)</f>
        <v>0</v>
      </c>
      <c r="K16" s="18"/>
      <c r="L16" s="25">
        <f>SUM(L17:L17)</f>
        <v>0</v>
      </c>
      <c r="M16" s="18"/>
      <c r="AI16" s="18" t="s">
        <v>47</v>
      </c>
      <c r="AS16" s="25">
        <f>SUM(AJ17:AJ17)</f>
        <v>0</v>
      </c>
      <c r="AT16" s="25">
        <f>SUM(AK17:AK17)</f>
        <v>0</v>
      </c>
      <c r="AU16" s="25">
        <f>SUM(AL17:AL17)</f>
        <v>0</v>
      </c>
    </row>
    <row r="17" spans="1:62" ht="12.75">
      <c r="A17" s="3" t="s">
        <v>64</v>
      </c>
      <c r="B17" s="3" t="s">
        <v>47</v>
      </c>
      <c r="C17" s="3" t="s">
        <v>65</v>
      </c>
      <c r="D17" s="3" t="s">
        <v>66</v>
      </c>
      <c r="E17" s="3" t="s">
        <v>54</v>
      </c>
      <c r="F17" s="26">
        <v>3.29</v>
      </c>
      <c r="G17" s="26"/>
      <c r="H17" s="26">
        <f>F17*AO17</f>
        <v>0</v>
      </c>
      <c r="I17" s="26">
        <f>F17*AP17</f>
        <v>0</v>
      </c>
      <c r="J17" s="26">
        <f>F17*G17</f>
        <v>0</v>
      </c>
      <c r="K17" s="26">
        <v>0</v>
      </c>
      <c r="L17" s="26">
        <f>F17*K17</f>
        <v>0</v>
      </c>
      <c r="M17" s="27" t="s">
        <v>55</v>
      </c>
      <c r="Z17" s="26">
        <f>IF(AQ17="5",BJ17,0)</f>
        <v>0</v>
      </c>
      <c r="AB17" s="26">
        <f>IF(AQ17="1",BH17,0)</f>
        <v>0</v>
      </c>
      <c r="AC17" s="26">
        <f>IF(AQ17="1",BI17,0)</f>
        <v>0</v>
      </c>
      <c r="AD17" s="26">
        <f>IF(AQ17="7",BH17,0)</f>
        <v>0</v>
      </c>
      <c r="AE17" s="26">
        <f>IF(AQ17="7",BI17,0)</f>
        <v>0</v>
      </c>
      <c r="AF17" s="26">
        <f>IF(AQ17="2",BH17,0)</f>
        <v>0</v>
      </c>
      <c r="AG17" s="26">
        <f>IF(AQ17="2",BI17,0)</f>
        <v>0</v>
      </c>
      <c r="AH17" s="26">
        <f>IF(AQ17="0",BJ17,0)</f>
        <v>0</v>
      </c>
      <c r="AI17" s="18" t="s">
        <v>47</v>
      </c>
      <c r="AJ17" s="26">
        <f>IF(AN17=0,J17,0)</f>
        <v>0</v>
      </c>
      <c r="AK17" s="26">
        <f>IF(AN17=15,J17,0)</f>
        <v>0</v>
      </c>
      <c r="AL17" s="26">
        <f>IF(AN17=21,J17,0)</f>
        <v>0</v>
      </c>
      <c r="AN17" s="26">
        <v>21</v>
      </c>
      <c r="AO17" s="26">
        <f>G17*0</f>
        <v>0</v>
      </c>
      <c r="AP17" s="26">
        <f>G17*(1-0)</f>
        <v>0</v>
      </c>
      <c r="AQ17" s="27" t="s">
        <v>51</v>
      </c>
      <c r="AV17" s="26">
        <f>AW17+AX17</f>
        <v>0</v>
      </c>
      <c r="AW17" s="26">
        <f>F17*AO17</f>
        <v>0</v>
      </c>
      <c r="AX17" s="26">
        <f>F17*AP17</f>
        <v>0</v>
      </c>
      <c r="AY17" s="27" t="s">
        <v>67</v>
      </c>
      <c r="AZ17" s="27" t="s">
        <v>57</v>
      </c>
      <c r="BA17" s="18" t="s">
        <v>58</v>
      </c>
      <c r="BC17" s="26">
        <f>AW17+AX17</f>
        <v>0</v>
      </c>
      <c r="BD17" s="26">
        <f>G17/(100-BE17)*100</f>
        <v>0</v>
      </c>
      <c r="BE17" s="26">
        <v>0</v>
      </c>
      <c r="BF17" s="26">
        <f>L17</f>
        <v>0</v>
      </c>
      <c r="BH17" s="26">
        <f>F17*AO17</f>
        <v>0</v>
      </c>
      <c r="BI17" s="26">
        <f>F17*AP17</f>
        <v>0</v>
      </c>
      <c r="BJ17" s="26">
        <f>F17*G17</f>
        <v>0</v>
      </c>
    </row>
    <row r="18" spans="1:47" ht="12.75">
      <c r="A18" s="23"/>
      <c r="B18" s="24" t="s">
        <v>47</v>
      </c>
      <c r="C18" s="24" t="s">
        <v>68</v>
      </c>
      <c r="D18" s="24" t="s">
        <v>69</v>
      </c>
      <c r="E18" s="23" t="s">
        <v>4</v>
      </c>
      <c r="F18" s="23" t="s">
        <v>4</v>
      </c>
      <c r="G18" s="23"/>
      <c r="H18" s="25">
        <f>SUM(H19:H21)</f>
        <v>0</v>
      </c>
      <c r="I18" s="25">
        <f>SUM(I19:I21)</f>
        <v>0</v>
      </c>
      <c r="J18" s="25">
        <f>SUM(J19:J21)</f>
        <v>0</v>
      </c>
      <c r="K18" s="18"/>
      <c r="L18" s="25">
        <f>SUM(L19:L21)</f>
        <v>0</v>
      </c>
      <c r="M18" s="18"/>
      <c r="AI18" s="18" t="s">
        <v>47</v>
      </c>
      <c r="AS18" s="25">
        <f>SUM(AJ19:AJ21)</f>
        <v>0</v>
      </c>
      <c r="AT18" s="25">
        <f>SUM(AK19:AK21)</f>
        <v>0</v>
      </c>
      <c r="AU18" s="25">
        <f>SUM(AL19:AL21)</f>
        <v>0</v>
      </c>
    </row>
    <row r="19" spans="1:62" ht="12.75">
      <c r="A19" s="3" t="s">
        <v>70</v>
      </c>
      <c r="B19" s="3" t="s">
        <v>47</v>
      </c>
      <c r="C19" s="3" t="s">
        <v>71</v>
      </c>
      <c r="D19" s="3" t="s">
        <v>72</v>
      </c>
      <c r="E19" s="3" t="s">
        <v>54</v>
      </c>
      <c r="F19" s="26">
        <v>4.63944</v>
      </c>
      <c r="G19" s="26"/>
      <c r="H19" s="26">
        <f>F19*AO19</f>
        <v>0</v>
      </c>
      <c r="I19" s="26">
        <f>F19*AP19</f>
        <v>0</v>
      </c>
      <c r="J19" s="26">
        <f>F19*G19</f>
        <v>0</v>
      </c>
      <c r="K19" s="26">
        <v>0</v>
      </c>
      <c r="L19" s="26">
        <f>F19*K19</f>
        <v>0</v>
      </c>
      <c r="M19" s="27" t="s">
        <v>55</v>
      </c>
      <c r="Z19" s="26">
        <f>IF(AQ19="5",BJ19,0)</f>
        <v>0</v>
      </c>
      <c r="AB19" s="26">
        <f>IF(AQ19="1",BH19,0)</f>
        <v>0</v>
      </c>
      <c r="AC19" s="26">
        <f>IF(AQ19="1",BI19,0)</f>
        <v>0</v>
      </c>
      <c r="AD19" s="26">
        <f>IF(AQ19="7",BH19,0)</f>
        <v>0</v>
      </c>
      <c r="AE19" s="26">
        <f>IF(AQ19="7",BI19,0)</f>
        <v>0</v>
      </c>
      <c r="AF19" s="26">
        <f>IF(AQ19="2",BH19,0)</f>
        <v>0</v>
      </c>
      <c r="AG19" s="26">
        <f>IF(AQ19="2",BI19,0)</f>
        <v>0</v>
      </c>
      <c r="AH19" s="26">
        <f>IF(AQ19="0",BJ19,0)</f>
        <v>0</v>
      </c>
      <c r="AI19" s="18" t="s">
        <v>47</v>
      </c>
      <c r="AJ19" s="26">
        <f>IF(AN19=0,J19,0)</f>
        <v>0</v>
      </c>
      <c r="AK19" s="26">
        <f>IF(AN19=15,J19,0)</f>
        <v>0</v>
      </c>
      <c r="AL19" s="26">
        <f>IF(AN19=21,J19,0)</f>
        <v>0</v>
      </c>
      <c r="AN19" s="26">
        <v>21</v>
      </c>
      <c r="AO19" s="26">
        <f>G19*0</f>
        <v>0</v>
      </c>
      <c r="AP19" s="26">
        <f>G19*(1-0)</f>
        <v>0</v>
      </c>
      <c r="AQ19" s="27" t="s">
        <v>51</v>
      </c>
      <c r="AV19" s="26">
        <f>AW19+AX19</f>
        <v>0</v>
      </c>
      <c r="AW19" s="26">
        <f>F19*AO19</f>
        <v>0</v>
      </c>
      <c r="AX19" s="26">
        <f>F19*AP19</f>
        <v>0</v>
      </c>
      <c r="AY19" s="27" t="s">
        <v>73</v>
      </c>
      <c r="AZ19" s="27" t="s">
        <v>57</v>
      </c>
      <c r="BA19" s="18" t="s">
        <v>58</v>
      </c>
      <c r="BC19" s="26">
        <f>AW19+AX19</f>
        <v>0</v>
      </c>
      <c r="BD19" s="26">
        <f>G19/(100-BE19)*100</f>
        <v>0</v>
      </c>
      <c r="BE19" s="26">
        <v>0</v>
      </c>
      <c r="BF19" s="26">
        <f>L19</f>
        <v>0</v>
      </c>
      <c r="BH19" s="26">
        <f>F19*AO19</f>
        <v>0</v>
      </c>
      <c r="BI19" s="26">
        <f>F19*AP19</f>
        <v>0</v>
      </c>
      <c r="BJ19" s="26">
        <f>F19*G19</f>
        <v>0</v>
      </c>
    </row>
    <row r="20" spans="1:62" ht="12.75">
      <c r="A20" s="3" t="s">
        <v>74</v>
      </c>
      <c r="B20" s="3" t="s">
        <v>47</v>
      </c>
      <c r="C20" s="3" t="s">
        <v>75</v>
      </c>
      <c r="D20" s="3" t="s">
        <v>76</v>
      </c>
      <c r="E20" s="3" t="s">
        <v>54</v>
      </c>
      <c r="F20" s="26">
        <v>1.08</v>
      </c>
      <c r="G20" s="26"/>
      <c r="H20" s="26">
        <f>F20*AO20</f>
        <v>0</v>
      </c>
      <c r="I20" s="26">
        <f>F20*AP20</f>
        <v>0</v>
      </c>
      <c r="J20" s="26">
        <f>F20*G20</f>
        <v>0</v>
      </c>
      <c r="K20" s="26">
        <v>0</v>
      </c>
      <c r="L20" s="26">
        <f>F20*K20</f>
        <v>0</v>
      </c>
      <c r="M20" s="27" t="s">
        <v>77</v>
      </c>
      <c r="Z20" s="26">
        <f>IF(AQ20="5",BJ20,0)</f>
        <v>0</v>
      </c>
      <c r="AB20" s="26">
        <f>IF(AQ20="1",BH20,0)</f>
        <v>0</v>
      </c>
      <c r="AC20" s="26">
        <f>IF(AQ20="1",BI20,0)</f>
        <v>0</v>
      </c>
      <c r="AD20" s="26">
        <f>IF(AQ20="7",BH20,0)</f>
        <v>0</v>
      </c>
      <c r="AE20" s="26">
        <f>IF(AQ20="7",BI20,0)</f>
        <v>0</v>
      </c>
      <c r="AF20" s="26">
        <f>IF(AQ20="2",BH20,0)</f>
        <v>0</v>
      </c>
      <c r="AG20" s="26">
        <f>IF(AQ20="2",BI20,0)</f>
        <v>0</v>
      </c>
      <c r="AH20" s="26">
        <f>IF(AQ20="0",BJ20,0)</f>
        <v>0</v>
      </c>
      <c r="AI20" s="18" t="s">
        <v>47</v>
      </c>
      <c r="AJ20" s="26">
        <f>IF(AN20=0,J20,0)</f>
        <v>0</v>
      </c>
      <c r="AK20" s="26">
        <f>IF(AN20=15,J20,0)</f>
        <v>0</v>
      </c>
      <c r="AL20" s="26">
        <f>IF(AN20=21,J20,0)</f>
        <v>0</v>
      </c>
      <c r="AN20" s="26">
        <v>21</v>
      </c>
      <c r="AO20" s="26">
        <f>G20*0</f>
        <v>0</v>
      </c>
      <c r="AP20" s="26">
        <f>G20*(1-0)</f>
        <v>0</v>
      </c>
      <c r="AQ20" s="27" t="s">
        <v>51</v>
      </c>
      <c r="AV20" s="26">
        <f>AW20+AX20</f>
        <v>0</v>
      </c>
      <c r="AW20" s="26">
        <f>F20*AO20</f>
        <v>0</v>
      </c>
      <c r="AX20" s="26">
        <f>F20*AP20</f>
        <v>0</v>
      </c>
      <c r="AY20" s="27" t="s">
        <v>73</v>
      </c>
      <c r="AZ20" s="27" t="s">
        <v>57</v>
      </c>
      <c r="BA20" s="18" t="s">
        <v>58</v>
      </c>
      <c r="BC20" s="26">
        <f>AW20+AX20</f>
        <v>0</v>
      </c>
      <c r="BD20" s="26">
        <f>G20/(100-BE20)*100</f>
        <v>0</v>
      </c>
      <c r="BE20" s="26">
        <v>0</v>
      </c>
      <c r="BF20" s="26">
        <f>L20</f>
        <v>0</v>
      </c>
      <c r="BH20" s="26">
        <f>F20*AO20</f>
        <v>0</v>
      </c>
      <c r="BI20" s="26">
        <f>F20*AP20</f>
        <v>0</v>
      </c>
      <c r="BJ20" s="26">
        <f>F20*G20</f>
        <v>0</v>
      </c>
    </row>
    <row r="21" spans="1:62" ht="12.75">
      <c r="A21" s="3" t="s">
        <v>78</v>
      </c>
      <c r="B21" s="3" t="s">
        <v>47</v>
      </c>
      <c r="C21" s="3" t="s">
        <v>71</v>
      </c>
      <c r="D21" s="3" t="s">
        <v>72</v>
      </c>
      <c r="E21" s="3" t="s">
        <v>54</v>
      </c>
      <c r="F21" s="26">
        <v>2.16</v>
      </c>
      <c r="G21" s="26"/>
      <c r="H21" s="26">
        <f>F21*AO21</f>
        <v>0</v>
      </c>
      <c r="I21" s="26">
        <f>F21*AP21</f>
        <v>0</v>
      </c>
      <c r="J21" s="26">
        <f>F21*G21</f>
        <v>0</v>
      </c>
      <c r="K21" s="26">
        <v>0</v>
      </c>
      <c r="L21" s="26">
        <f>F21*K21</f>
        <v>0</v>
      </c>
      <c r="M21" s="27" t="s">
        <v>77</v>
      </c>
      <c r="Z21" s="26">
        <f>IF(AQ21="5",BJ21,0)</f>
        <v>0</v>
      </c>
      <c r="AB21" s="26">
        <f>IF(AQ21="1",BH21,0)</f>
        <v>0</v>
      </c>
      <c r="AC21" s="26">
        <f>IF(AQ21="1",BI21,0)</f>
        <v>0</v>
      </c>
      <c r="AD21" s="26">
        <f>IF(AQ21="7",BH21,0)</f>
        <v>0</v>
      </c>
      <c r="AE21" s="26">
        <f>IF(AQ21="7",BI21,0)</f>
        <v>0</v>
      </c>
      <c r="AF21" s="26">
        <f>IF(AQ21="2",BH21,0)</f>
        <v>0</v>
      </c>
      <c r="AG21" s="26">
        <f>IF(AQ21="2",BI21,0)</f>
        <v>0</v>
      </c>
      <c r="AH21" s="26">
        <f>IF(AQ21="0",BJ21,0)</f>
        <v>0</v>
      </c>
      <c r="AI21" s="18" t="s">
        <v>47</v>
      </c>
      <c r="AJ21" s="26">
        <f>IF(AN21=0,J21,0)</f>
        <v>0</v>
      </c>
      <c r="AK21" s="26">
        <f>IF(AN21=15,J21,0)</f>
        <v>0</v>
      </c>
      <c r="AL21" s="26">
        <f>IF(AN21=21,J21,0)</f>
        <v>0</v>
      </c>
      <c r="AN21" s="26">
        <v>21</v>
      </c>
      <c r="AO21" s="26">
        <f>G21*0</f>
        <v>0</v>
      </c>
      <c r="AP21" s="26">
        <f>G21*(1-0)</f>
        <v>0</v>
      </c>
      <c r="AQ21" s="27" t="s">
        <v>51</v>
      </c>
      <c r="AV21" s="26">
        <f>AW21+AX21</f>
        <v>0</v>
      </c>
      <c r="AW21" s="26">
        <f>F21*AO21</f>
        <v>0</v>
      </c>
      <c r="AX21" s="26">
        <f>F21*AP21</f>
        <v>0</v>
      </c>
      <c r="AY21" s="27" t="s">
        <v>73</v>
      </c>
      <c r="AZ21" s="27" t="s">
        <v>57</v>
      </c>
      <c r="BA21" s="18" t="s">
        <v>58</v>
      </c>
      <c r="BC21" s="26">
        <f>AW21+AX21</f>
        <v>0</v>
      </c>
      <c r="BD21" s="26">
        <f>G21/(100-BE21)*100</f>
        <v>0</v>
      </c>
      <c r="BE21" s="26">
        <v>0</v>
      </c>
      <c r="BF21" s="26">
        <f>L21</f>
        <v>0</v>
      </c>
      <c r="BH21" s="26">
        <f>F21*AO21</f>
        <v>0</v>
      </c>
      <c r="BI21" s="26">
        <f>F21*AP21</f>
        <v>0</v>
      </c>
      <c r="BJ21" s="26">
        <f>F21*G21</f>
        <v>0</v>
      </c>
    </row>
    <row r="22" spans="1:47" ht="12.75">
      <c r="A22" s="23"/>
      <c r="B22" s="24" t="s">
        <v>47</v>
      </c>
      <c r="C22" s="24" t="s">
        <v>79</v>
      </c>
      <c r="D22" s="24" t="s">
        <v>80</v>
      </c>
      <c r="E22" s="23" t="s">
        <v>4</v>
      </c>
      <c r="F22" s="23" t="s">
        <v>4</v>
      </c>
      <c r="G22" s="23"/>
      <c r="H22" s="25">
        <f>SUM(H23:H23)</f>
        <v>0</v>
      </c>
      <c r="I22" s="25">
        <f>SUM(I23:I23)</f>
        <v>0</v>
      </c>
      <c r="J22" s="25">
        <f>SUM(J23:J23)</f>
        <v>0</v>
      </c>
      <c r="K22" s="18"/>
      <c r="L22" s="25">
        <f>SUM(L23:L23)</f>
        <v>0</v>
      </c>
      <c r="M22" s="18"/>
      <c r="AI22" s="18" t="s">
        <v>47</v>
      </c>
      <c r="AS22" s="25">
        <f>SUM(AJ23:AJ23)</f>
        <v>0</v>
      </c>
      <c r="AT22" s="25">
        <f>SUM(AK23:AK23)</f>
        <v>0</v>
      </c>
      <c r="AU22" s="25">
        <f>SUM(AL23:AL23)</f>
        <v>0</v>
      </c>
    </row>
    <row r="23" spans="1:62" ht="12.75">
      <c r="A23" s="3" t="s">
        <v>81</v>
      </c>
      <c r="B23" s="3" t="s">
        <v>47</v>
      </c>
      <c r="C23" s="3" t="s">
        <v>82</v>
      </c>
      <c r="D23" s="3" t="s">
        <v>83</v>
      </c>
      <c r="E23" s="3" t="s">
        <v>84</v>
      </c>
      <c r="F23" s="26">
        <v>2.6988</v>
      </c>
      <c r="G23" s="26"/>
      <c r="H23" s="26">
        <f>F23*AO23</f>
        <v>0</v>
      </c>
      <c r="I23" s="26">
        <f>F23*AP23</f>
        <v>0</v>
      </c>
      <c r="J23" s="26">
        <f>F23*G23</f>
        <v>0</v>
      </c>
      <c r="K23" s="26">
        <v>0</v>
      </c>
      <c r="L23" s="26">
        <f>F23*K23</f>
        <v>0</v>
      </c>
      <c r="M23" s="27" t="s">
        <v>55</v>
      </c>
      <c r="Z23" s="26">
        <f>IF(AQ23="5",BJ23,0)</f>
        <v>0</v>
      </c>
      <c r="AB23" s="26">
        <f>IF(AQ23="1",BH23,0)</f>
        <v>0</v>
      </c>
      <c r="AC23" s="26">
        <f>IF(AQ23="1",BI23,0)</f>
        <v>0</v>
      </c>
      <c r="AD23" s="26">
        <f>IF(AQ23="7",BH23,0)</f>
        <v>0</v>
      </c>
      <c r="AE23" s="26">
        <f>IF(AQ23="7",BI23,0)</f>
        <v>0</v>
      </c>
      <c r="AF23" s="26">
        <f>IF(AQ23="2",BH23,0)</f>
        <v>0</v>
      </c>
      <c r="AG23" s="26">
        <f>IF(AQ23="2",BI23,0)</f>
        <v>0</v>
      </c>
      <c r="AH23" s="26">
        <f>IF(AQ23="0",BJ23,0)</f>
        <v>0</v>
      </c>
      <c r="AI23" s="18" t="s">
        <v>47</v>
      </c>
      <c r="AJ23" s="26">
        <f>IF(AN23=0,J23,0)</f>
        <v>0</v>
      </c>
      <c r="AK23" s="26">
        <f>IF(AN23=15,J23,0)</f>
        <v>0</v>
      </c>
      <c r="AL23" s="26">
        <f>IF(AN23=21,J23,0)</f>
        <v>0</v>
      </c>
      <c r="AN23" s="26">
        <v>21</v>
      </c>
      <c r="AO23" s="26">
        <f>G23*0</f>
        <v>0</v>
      </c>
      <c r="AP23" s="26">
        <f>G23*(1-0)</f>
        <v>0</v>
      </c>
      <c r="AQ23" s="27" t="s">
        <v>51</v>
      </c>
      <c r="AV23" s="26">
        <f>AW23+AX23</f>
        <v>0</v>
      </c>
      <c r="AW23" s="26">
        <f>F23*AO23</f>
        <v>0</v>
      </c>
      <c r="AX23" s="26">
        <f>F23*AP23</f>
        <v>0</v>
      </c>
      <c r="AY23" s="27" t="s">
        <v>85</v>
      </c>
      <c r="AZ23" s="27" t="s">
        <v>57</v>
      </c>
      <c r="BA23" s="18" t="s">
        <v>58</v>
      </c>
      <c r="BC23" s="26">
        <f>AW23+AX23</f>
        <v>0</v>
      </c>
      <c r="BD23" s="26">
        <f>G23/(100-BE23)*100</f>
        <v>0</v>
      </c>
      <c r="BE23" s="26">
        <v>0</v>
      </c>
      <c r="BF23" s="26">
        <f>L23</f>
        <v>0</v>
      </c>
      <c r="BH23" s="26">
        <f>F23*AO23</f>
        <v>0</v>
      </c>
      <c r="BI23" s="26">
        <f>F23*AP23</f>
        <v>0</v>
      </c>
      <c r="BJ23" s="26">
        <f>F23*G23</f>
        <v>0</v>
      </c>
    </row>
    <row r="24" spans="1:47" ht="12.75">
      <c r="A24" s="23"/>
      <c r="B24" s="24" t="s">
        <v>47</v>
      </c>
      <c r="C24" s="24" t="s">
        <v>86</v>
      </c>
      <c r="D24" s="24" t="s">
        <v>87</v>
      </c>
      <c r="E24" s="23" t="s">
        <v>4</v>
      </c>
      <c r="F24" s="23" t="s">
        <v>4</v>
      </c>
      <c r="G24" s="23"/>
      <c r="H24" s="25">
        <f>SUM(H25:H32)</f>
        <v>0</v>
      </c>
      <c r="I24" s="25">
        <f>SUM(I25:I32)</f>
        <v>0</v>
      </c>
      <c r="J24" s="25">
        <f>SUM(J25:J32)</f>
        <v>0</v>
      </c>
      <c r="K24" s="18"/>
      <c r="L24" s="25">
        <f>SUM(L25:L32)</f>
        <v>6.606212365999999</v>
      </c>
      <c r="M24" s="18"/>
      <c r="AI24" s="18" t="s">
        <v>47</v>
      </c>
      <c r="AS24" s="25">
        <f>SUM(AJ25:AJ32)</f>
        <v>0</v>
      </c>
      <c r="AT24" s="25">
        <f>SUM(AK25:AK32)</f>
        <v>0</v>
      </c>
      <c r="AU24" s="25">
        <f>SUM(AL25:AL32)</f>
        <v>0</v>
      </c>
    </row>
    <row r="25" spans="1:62" ht="12.75">
      <c r="A25" s="3" t="s">
        <v>88</v>
      </c>
      <c r="B25" s="3" t="s">
        <v>47</v>
      </c>
      <c r="C25" s="3" t="s">
        <v>89</v>
      </c>
      <c r="D25" s="3" t="s">
        <v>90</v>
      </c>
      <c r="E25" s="3" t="s">
        <v>54</v>
      </c>
      <c r="F25" s="26">
        <v>0.135</v>
      </c>
      <c r="G25" s="26"/>
      <c r="H25" s="26">
        <f>F25*AO25</f>
        <v>0</v>
      </c>
      <c r="I25" s="26">
        <f>F25*AP25</f>
        <v>0</v>
      </c>
      <c r="J25" s="26">
        <f>F25*G25</f>
        <v>0</v>
      </c>
      <c r="K25" s="26">
        <v>2.16</v>
      </c>
      <c r="L25" s="26">
        <f>F25*K25</f>
        <v>0.2916</v>
      </c>
      <c r="M25" s="27" t="s">
        <v>55</v>
      </c>
      <c r="Z25" s="26">
        <f>IF(AQ25="5",BJ25,0)</f>
        <v>0</v>
      </c>
      <c r="AB25" s="26">
        <f>IF(AQ25="1",BH25,0)</f>
        <v>0</v>
      </c>
      <c r="AC25" s="26">
        <f>IF(AQ25="1",BI25,0)</f>
        <v>0</v>
      </c>
      <c r="AD25" s="26">
        <f>IF(AQ25="7",BH25,0)</f>
        <v>0</v>
      </c>
      <c r="AE25" s="26">
        <f>IF(AQ25="7",BI25,0)</f>
        <v>0</v>
      </c>
      <c r="AF25" s="26">
        <f>IF(AQ25="2",BH25,0)</f>
        <v>0</v>
      </c>
      <c r="AG25" s="26">
        <f>IF(AQ25="2",BI25,0)</f>
        <v>0</v>
      </c>
      <c r="AH25" s="26">
        <f>IF(AQ25="0",BJ25,0)</f>
        <v>0</v>
      </c>
      <c r="AI25" s="18" t="s">
        <v>47</v>
      </c>
      <c r="AJ25" s="26">
        <f>IF(AN25=0,J25,0)</f>
        <v>0</v>
      </c>
      <c r="AK25" s="26">
        <f>IF(AN25=15,J25,0)</f>
        <v>0</v>
      </c>
      <c r="AL25" s="26">
        <f>IF(AN25=21,J25,0)</f>
        <v>0</v>
      </c>
      <c r="AN25" s="26">
        <v>21</v>
      </c>
      <c r="AO25" s="26">
        <f>G25*0.645487221260564</f>
        <v>0</v>
      </c>
      <c r="AP25" s="26">
        <f>G25*(1-0.645487221260564)</f>
        <v>0</v>
      </c>
      <c r="AQ25" s="27" t="s">
        <v>51</v>
      </c>
      <c r="AV25" s="26">
        <f>AW25+AX25</f>
        <v>0</v>
      </c>
      <c r="AW25" s="26">
        <f>F25*AO25</f>
        <v>0</v>
      </c>
      <c r="AX25" s="26">
        <f>F25*AP25</f>
        <v>0</v>
      </c>
      <c r="AY25" s="27" t="s">
        <v>91</v>
      </c>
      <c r="AZ25" s="27" t="s">
        <v>92</v>
      </c>
      <c r="BA25" s="18" t="s">
        <v>58</v>
      </c>
      <c r="BC25" s="26">
        <f>AW25+AX25</f>
        <v>0</v>
      </c>
      <c r="BD25" s="26">
        <f>G25/(100-BE25)*100</f>
        <v>0</v>
      </c>
      <c r="BE25" s="26">
        <v>0</v>
      </c>
      <c r="BF25" s="26">
        <f>L25</f>
        <v>0.2916</v>
      </c>
      <c r="BH25" s="26">
        <f>F25*AO25</f>
        <v>0</v>
      </c>
      <c r="BI25" s="26">
        <f>F25*AP25</f>
        <v>0</v>
      </c>
      <c r="BJ25" s="26">
        <f>F25*G25</f>
        <v>0</v>
      </c>
    </row>
    <row r="26" spans="1:62" ht="12.75">
      <c r="A26" s="3" t="s">
        <v>93</v>
      </c>
      <c r="B26" s="3" t="s">
        <v>47</v>
      </c>
      <c r="C26" s="3" t="s">
        <v>94</v>
      </c>
      <c r="D26" s="3" t="s">
        <v>95</v>
      </c>
      <c r="E26" s="3" t="s">
        <v>54</v>
      </c>
      <c r="F26" s="26">
        <v>0.135</v>
      </c>
      <c r="G26" s="26"/>
      <c r="H26" s="26">
        <f>F26*AO26</f>
        <v>0</v>
      </c>
      <c r="I26" s="26">
        <f>F26*AP26</f>
        <v>0</v>
      </c>
      <c r="J26" s="26">
        <f>F26*G26</f>
        <v>0</v>
      </c>
      <c r="K26" s="26">
        <v>2.5856</v>
      </c>
      <c r="L26" s="26">
        <f>F26*K26</f>
        <v>0.34905600000000003</v>
      </c>
      <c r="M26" s="27" t="s">
        <v>55</v>
      </c>
      <c r="Z26" s="26">
        <f>IF(AQ26="5",BJ26,0)</f>
        <v>0</v>
      </c>
      <c r="AB26" s="26">
        <f>IF(AQ26="1",BH26,0)</f>
        <v>0</v>
      </c>
      <c r="AC26" s="26">
        <f>IF(AQ26="1",BI26,0)</f>
        <v>0</v>
      </c>
      <c r="AD26" s="26">
        <f>IF(AQ26="7",BH26,0)</f>
        <v>0</v>
      </c>
      <c r="AE26" s="26">
        <f>IF(AQ26="7",BI26,0)</f>
        <v>0</v>
      </c>
      <c r="AF26" s="26">
        <f>IF(AQ26="2",BH26,0)</f>
        <v>0</v>
      </c>
      <c r="AG26" s="26">
        <f>IF(AQ26="2",BI26,0)</f>
        <v>0</v>
      </c>
      <c r="AH26" s="26">
        <f>IF(AQ26="0",BJ26,0)</f>
        <v>0</v>
      </c>
      <c r="AI26" s="18" t="s">
        <v>47</v>
      </c>
      <c r="AJ26" s="26">
        <f>IF(AN26=0,J26,0)</f>
        <v>0</v>
      </c>
      <c r="AK26" s="26">
        <f>IF(AN26=15,J26,0)</f>
        <v>0</v>
      </c>
      <c r="AL26" s="26">
        <f>IF(AN26=21,J26,0)</f>
        <v>0</v>
      </c>
      <c r="AN26" s="26">
        <v>21</v>
      </c>
      <c r="AO26" s="26">
        <f>G26*0.912923090848746</f>
        <v>0</v>
      </c>
      <c r="AP26" s="26">
        <f>G26*(1-0.912923090848746)</f>
        <v>0</v>
      </c>
      <c r="AQ26" s="27" t="s">
        <v>51</v>
      </c>
      <c r="AV26" s="26">
        <f>AW26+AX26</f>
        <v>0</v>
      </c>
      <c r="AW26" s="26">
        <f>F26*AO26</f>
        <v>0</v>
      </c>
      <c r="AX26" s="26">
        <f>F26*AP26</f>
        <v>0</v>
      </c>
      <c r="AY26" s="27" t="s">
        <v>91</v>
      </c>
      <c r="AZ26" s="27" t="s">
        <v>92</v>
      </c>
      <c r="BA26" s="18" t="s">
        <v>58</v>
      </c>
      <c r="BC26" s="26">
        <f>AW26+AX26</f>
        <v>0</v>
      </c>
      <c r="BD26" s="26">
        <f>G26/(100-BE26)*100</f>
        <v>0</v>
      </c>
      <c r="BE26" s="26">
        <v>0</v>
      </c>
      <c r="BF26" s="26">
        <f>L26</f>
        <v>0.34905600000000003</v>
      </c>
      <c r="BH26" s="26">
        <f>F26*AO26</f>
        <v>0</v>
      </c>
      <c r="BI26" s="26">
        <f>F26*AP26</f>
        <v>0</v>
      </c>
      <c r="BJ26" s="26">
        <f>F26*G26</f>
        <v>0</v>
      </c>
    </row>
    <row r="27" spans="1:62" ht="12.75">
      <c r="A27" s="3" t="s">
        <v>96</v>
      </c>
      <c r="B27" s="3" t="s">
        <v>47</v>
      </c>
      <c r="C27" s="3" t="s">
        <v>97</v>
      </c>
      <c r="D27" s="3" t="s">
        <v>98</v>
      </c>
      <c r="E27" s="3" t="s">
        <v>54</v>
      </c>
      <c r="F27" s="26">
        <v>0.9632</v>
      </c>
      <c r="G27" s="26"/>
      <c r="H27" s="26">
        <f>F27*AO27</f>
        <v>0</v>
      </c>
      <c r="I27" s="26">
        <f>F27*AP27</f>
        <v>0</v>
      </c>
      <c r="J27" s="26">
        <f>F27*G27</f>
        <v>0</v>
      </c>
      <c r="K27" s="26">
        <v>2.5856</v>
      </c>
      <c r="L27" s="26">
        <f>F27*K27</f>
        <v>2.4904499199999997</v>
      </c>
      <c r="M27" s="27" t="s">
        <v>55</v>
      </c>
      <c r="Z27" s="26">
        <f>IF(AQ27="5",BJ27,0)</f>
        <v>0</v>
      </c>
      <c r="AB27" s="26">
        <f>IF(AQ27="1",BH27,0)</f>
        <v>0</v>
      </c>
      <c r="AC27" s="26">
        <f>IF(AQ27="1",BI27,0)</f>
        <v>0</v>
      </c>
      <c r="AD27" s="26">
        <f>IF(AQ27="7",BH27,0)</f>
        <v>0</v>
      </c>
      <c r="AE27" s="26">
        <f>IF(AQ27="7",BI27,0)</f>
        <v>0</v>
      </c>
      <c r="AF27" s="26">
        <f>IF(AQ27="2",BH27,0)</f>
        <v>0</v>
      </c>
      <c r="AG27" s="26">
        <f>IF(AQ27="2",BI27,0)</f>
        <v>0</v>
      </c>
      <c r="AH27" s="26">
        <f>IF(AQ27="0",BJ27,0)</f>
        <v>0</v>
      </c>
      <c r="AI27" s="18" t="s">
        <v>47</v>
      </c>
      <c r="AJ27" s="26">
        <f>IF(AN27=0,J27,0)</f>
        <v>0</v>
      </c>
      <c r="AK27" s="26">
        <f>IF(AN27=15,J27,0)</f>
        <v>0</v>
      </c>
      <c r="AL27" s="26">
        <f>IF(AN27=21,J27,0)</f>
        <v>0</v>
      </c>
      <c r="AN27" s="26">
        <v>21</v>
      </c>
      <c r="AO27" s="26">
        <f>G27*0.912935319242513</f>
        <v>0</v>
      </c>
      <c r="AP27" s="26">
        <f>G27*(1-0.912935319242513)</f>
        <v>0</v>
      </c>
      <c r="AQ27" s="27" t="s">
        <v>51</v>
      </c>
      <c r="AV27" s="26">
        <f>AW27+AX27</f>
        <v>0</v>
      </c>
      <c r="AW27" s="26">
        <f>F27*AO27</f>
        <v>0</v>
      </c>
      <c r="AX27" s="26">
        <f>F27*AP27</f>
        <v>0</v>
      </c>
      <c r="AY27" s="27" t="s">
        <v>91</v>
      </c>
      <c r="AZ27" s="27" t="s">
        <v>92</v>
      </c>
      <c r="BA27" s="18" t="s">
        <v>58</v>
      </c>
      <c r="BC27" s="26">
        <f>AW27+AX27</f>
        <v>0</v>
      </c>
      <c r="BD27" s="26">
        <f>G27/(100-BE27)*100</f>
        <v>0</v>
      </c>
      <c r="BE27" s="26">
        <v>0</v>
      </c>
      <c r="BF27" s="26">
        <f>L27</f>
        <v>2.4904499199999997</v>
      </c>
      <c r="BH27" s="26">
        <f>F27*AO27</f>
        <v>0</v>
      </c>
      <c r="BI27" s="26">
        <f>F27*AP27</f>
        <v>0</v>
      </c>
      <c r="BJ27" s="26">
        <f>F27*G27</f>
        <v>0</v>
      </c>
    </row>
    <row r="28" spans="1:62" ht="12.75">
      <c r="A28" s="3" t="s">
        <v>99</v>
      </c>
      <c r="B28" s="3" t="s">
        <v>47</v>
      </c>
      <c r="C28" s="3" t="s">
        <v>100</v>
      </c>
      <c r="D28" s="3" t="s">
        <v>101</v>
      </c>
      <c r="E28" s="3" t="s">
        <v>54</v>
      </c>
      <c r="F28" s="26">
        <v>1.31544</v>
      </c>
      <c r="G28" s="26"/>
      <c r="H28" s="26">
        <f>F28*AO28</f>
        <v>0</v>
      </c>
      <c r="I28" s="26">
        <f>F28*AP28</f>
        <v>0</v>
      </c>
      <c r="J28" s="26">
        <f>F28*G28</f>
        <v>0</v>
      </c>
      <c r="K28" s="26">
        <v>2.525</v>
      </c>
      <c r="L28" s="26">
        <f>F28*K28</f>
        <v>3.3214859999999997</v>
      </c>
      <c r="M28" s="27" t="s">
        <v>55</v>
      </c>
      <c r="Z28" s="26">
        <f>IF(AQ28="5",BJ28,0)</f>
        <v>0</v>
      </c>
      <c r="AB28" s="26">
        <f>IF(AQ28="1",BH28,0)</f>
        <v>0</v>
      </c>
      <c r="AC28" s="26">
        <f>IF(AQ28="1",BI28,0)</f>
        <v>0</v>
      </c>
      <c r="AD28" s="26">
        <f>IF(AQ28="7",BH28,0)</f>
        <v>0</v>
      </c>
      <c r="AE28" s="26">
        <f>IF(AQ28="7",BI28,0)</f>
        <v>0</v>
      </c>
      <c r="AF28" s="26">
        <f>IF(AQ28="2",BH28,0)</f>
        <v>0</v>
      </c>
      <c r="AG28" s="26">
        <f>IF(AQ28="2",BI28,0)</f>
        <v>0</v>
      </c>
      <c r="AH28" s="26">
        <f>IF(AQ28="0",BJ28,0)</f>
        <v>0</v>
      </c>
      <c r="AI28" s="18" t="s">
        <v>47</v>
      </c>
      <c r="AJ28" s="26">
        <f>IF(AN28=0,J28,0)</f>
        <v>0</v>
      </c>
      <c r="AK28" s="26">
        <f>IF(AN28=15,J28,0)</f>
        <v>0</v>
      </c>
      <c r="AL28" s="26">
        <f>IF(AN28=21,J28,0)</f>
        <v>0</v>
      </c>
      <c r="AN28" s="26">
        <v>21</v>
      </c>
      <c r="AO28" s="26">
        <f>G28*0.901050374979674</f>
        <v>0</v>
      </c>
      <c r="AP28" s="26">
        <f>G28*(1-0.901050374979674)</f>
        <v>0</v>
      </c>
      <c r="AQ28" s="27" t="s">
        <v>51</v>
      </c>
      <c r="AV28" s="26">
        <f>AW28+AX28</f>
        <v>0</v>
      </c>
      <c r="AW28" s="26">
        <f>F28*AO28</f>
        <v>0</v>
      </c>
      <c r="AX28" s="26">
        <f>F28*AP28</f>
        <v>0</v>
      </c>
      <c r="AY28" s="27" t="s">
        <v>91</v>
      </c>
      <c r="AZ28" s="27" t="s">
        <v>92</v>
      </c>
      <c r="BA28" s="18" t="s">
        <v>58</v>
      </c>
      <c r="BC28" s="26">
        <f>AW28+AX28</f>
        <v>0</v>
      </c>
      <c r="BD28" s="26">
        <f>G28/(100-BE28)*100</f>
        <v>0</v>
      </c>
      <c r="BE28" s="26">
        <v>0</v>
      </c>
      <c r="BF28" s="26">
        <f>L28</f>
        <v>3.3214859999999997</v>
      </c>
      <c r="BH28" s="26">
        <f>F28*AO28</f>
        <v>0</v>
      </c>
      <c r="BI28" s="26">
        <f>F28*AP28</f>
        <v>0</v>
      </c>
      <c r="BJ28" s="26">
        <f>F28*G28</f>
        <v>0</v>
      </c>
    </row>
    <row r="29" spans="1:62" ht="12.75">
      <c r="A29" s="3" t="s">
        <v>102</v>
      </c>
      <c r="B29" s="3" t="s">
        <v>47</v>
      </c>
      <c r="C29" s="3" t="s">
        <v>103</v>
      </c>
      <c r="D29" s="3" t="s">
        <v>104</v>
      </c>
      <c r="E29" s="3" t="s">
        <v>84</v>
      </c>
      <c r="F29" s="26">
        <v>1.866</v>
      </c>
      <c r="G29" s="26"/>
      <c r="H29" s="26">
        <f>F29*AO29</f>
        <v>0</v>
      </c>
      <c r="I29" s="26">
        <f>F29*AP29</f>
        <v>0</v>
      </c>
      <c r="J29" s="26">
        <f>F29*G29</f>
        <v>0</v>
      </c>
      <c r="K29" s="26">
        <v>0.0364</v>
      </c>
      <c r="L29" s="26">
        <f>F29*K29</f>
        <v>0.06792240000000001</v>
      </c>
      <c r="M29" s="27" t="s">
        <v>55</v>
      </c>
      <c r="Z29" s="26">
        <f>IF(AQ29="5",BJ29,0)</f>
        <v>0</v>
      </c>
      <c r="AB29" s="26">
        <f>IF(AQ29="1",BH29,0)</f>
        <v>0</v>
      </c>
      <c r="AC29" s="26">
        <f>IF(AQ29="1",BI29,0)</f>
        <v>0</v>
      </c>
      <c r="AD29" s="26">
        <f>IF(AQ29="7",BH29,0)</f>
        <v>0</v>
      </c>
      <c r="AE29" s="26">
        <f>IF(AQ29="7",BI29,0)</f>
        <v>0</v>
      </c>
      <c r="AF29" s="26">
        <f>IF(AQ29="2",BH29,0)</f>
        <v>0</v>
      </c>
      <c r="AG29" s="26">
        <f>IF(AQ29="2",BI29,0)</f>
        <v>0</v>
      </c>
      <c r="AH29" s="26">
        <f>IF(AQ29="0",BJ29,0)</f>
        <v>0</v>
      </c>
      <c r="AI29" s="18" t="s">
        <v>47</v>
      </c>
      <c r="AJ29" s="26">
        <f>IF(AN29=0,J29,0)</f>
        <v>0</v>
      </c>
      <c r="AK29" s="26">
        <f>IF(AN29=15,J29,0)</f>
        <v>0</v>
      </c>
      <c r="AL29" s="26">
        <f>IF(AN29=21,J29,0)</f>
        <v>0</v>
      </c>
      <c r="AN29" s="26">
        <v>21</v>
      </c>
      <c r="AO29" s="26">
        <f>G29*0.633409096101127</f>
        <v>0</v>
      </c>
      <c r="AP29" s="26">
        <f>G29*(1-0.633409096101127)</f>
        <v>0</v>
      </c>
      <c r="AQ29" s="27" t="s">
        <v>51</v>
      </c>
      <c r="AV29" s="26">
        <f>AW29+AX29</f>
        <v>0</v>
      </c>
      <c r="AW29" s="26">
        <f>F29*AO29</f>
        <v>0</v>
      </c>
      <c r="AX29" s="26">
        <f>F29*AP29</f>
        <v>0</v>
      </c>
      <c r="AY29" s="27" t="s">
        <v>91</v>
      </c>
      <c r="AZ29" s="27" t="s">
        <v>92</v>
      </c>
      <c r="BA29" s="18" t="s">
        <v>58</v>
      </c>
      <c r="BC29" s="26">
        <f>AW29+AX29</f>
        <v>0</v>
      </c>
      <c r="BD29" s="26">
        <f>G29/(100-BE29)*100</f>
        <v>0</v>
      </c>
      <c r="BE29" s="26">
        <v>0</v>
      </c>
      <c r="BF29" s="26">
        <f>L29</f>
        <v>0.06792240000000001</v>
      </c>
      <c r="BH29" s="26">
        <f>F29*AO29</f>
        <v>0</v>
      </c>
      <c r="BI29" s="26">
        <f>F29*AP29</f>
        <v>0</v>
      </c>
      <c r="BJ29" s="26">
        <f>F29*G29</f>
        <v>0</v>
      </c>
    </row>
    <row r="30" ht="12.75">
      <c r="D30" s="2" t="s">
        <v>105</v>
      </c>
    </row>
    <row r="31" spans="1:62" ht="12.75">
      <c r="A31" s="3" t="s">
        <v>49</v>
      </c>
      <c r="B31" s="3" t="s">
        <v>47</v>
      </c>
      <c r="C31" s="3" t="s">
        <v>106</v>
      </c>
      <c r="D31" s="3" t="s">
        <v>107</v>
      </c>
      <c r="E31" s="3" t="s">
        <v>84</v>
      </c>
      <c r="F31" s="26">
        <v>1.9</v>
      </c>
      <c r="G31" s="26"/>
      <c r="H31" s="26">
        <f>F31*AO31</f>
        <v>0</v>
      </c>
      <c r="I31" s="26">
        <f>F31*AP31</f>
        <v>0</v>
      </c>
      <c r="J31" s="26">
        <f>F31*G31</f>
        <v>0</v>
      </c>
      <c r="K31" s="26">
        <v>0</v>
      </c>
      <c r="L31" s="26">
        <f>F31*K31</f>
        <v>0</v>
      </c>
      <c r="M31" s="27" t="s">
        <v>55</v>
      </c>
      <c r="Z31" s="26">
        <f>IF(AQ31="5",BJ31,0)</f>
        <v>0</v>
      </c>
      <c r="AB31" s="26">
        <f>IF(AQ31="1",BH31,0)</f>
        <v>0</v>
      </c>
      <c r="AC31" s="26">
        <f>IF(AQ31="1",BI31,0)</f>
        <v>0</v>
      </c>
      <c r="AD31" s="26">
        <f>IF(AQ31="7",BH31,0)</f>
        <v>0</v>
      </c>
      <c r="AE31" s="26">
        <f>IF(AQ31="7",BI31,0)</f>
        <v>0</v>
      </c>
      <c r="AF31" s="26">
        <f>IF(AQ31="2",BH31,0)</f>
        <v>0</v>
      </c>
      <c r="AG31" s="26">
        <f>IF(AQ31="2",BI31,0)</f>
        <v>0</v>
      </c>
      <c r="AH31" s="26">
        <f>IF(AQ31="0",BJ31,0)</f>
        <v>0</v>
      </c>
      <c r="AI31" s="18" t="s">
        <v>47</v>
      </c>
      <c r="AJ31" s="26">
        <f>IF(AN31=0,J31,0)</f>
        <v>0</v>
      </c>
      <c r="AK31" s="26">
        <f>IF(AN31=15,J31,0)</f>
        <v>0</v>
      </c>
      <c r="AL31" s="26">
        <f>IF(AN31=21,J31,0)</f>
        <v>0</v>
      </c>
      <c r="AN31" s="26">
        <v>21</v>
      </c>
      <c r="AO31" s="26">
        <f>G31*0</f>
        <v>0</v>
      </c>
      <c r="AP31" s="26">
        <f>G31*(1-0)</f>
        <v>0</v>
      </c>
      <c r="AQ31" s="27" t="s">
        <v>51</v>
      </c>
      <c r="AV31" s="26">
        <f>AW31+AX31</f>
        <v>0</v>
      </c>
      <c r="AW31" s="26">
        <f>F31*AO31</f>
        <v>0</v>
      </c>
      <c r="AX31" s="26">
        <f>F31*AP31</f>
        <v>0</v>
      </c>
      <c r="AY31" s="27" t="s">
        <v>91</v>
      </c>
      <c r="AZ31" s="27" t="s">
        <v>92</v>
      </c>
      <c r="BA31" s="18" t="s">
        <v>58</v>
      </c>
      <c r="BC31" s="26">
        <f>AW31+AX31</f>
        <v>0</v>
      </c>
      <c r="BD31" s="26">
        <f>G31/(100-BE31)*100</f>
        <v>0</v>
      </c>
      <c r="BE31" s="26">
        <v>0</v>
      </c>
      <c r="BF31" s="26">
        <f>L31</f>
        <v>0</v>
      </c>
      <c r="BH31" s="26">
        <f>F31*AO31</f>
        <v>0</v>
      </c>
      <c r="BI31" s="26">
        <f>F31*AP31</f>
        <v>0</v>
      </c>
      <c r="BJ31" s="26">
        <f>F31*G31</f>
        <v>0</v>
      </c>
    </row>
    <row r="32" spans="1:62" ht="12.75">
      <c r="A32" s="3" t="s">
        <v>108</v>
      </c>
      <c r="B32" s="3" t="s">
        <v>47</v>
      </c>
      <c r="C32" s="3" t="s">
        <v>109</v>
      </c>
      <c r="D32" s="3" t="s">
        <v>110</v>
      </c>
      <c r="E32" s="3" t="s">
        <v>111</v>
      </c>
      <c r="F32" s="26">
        <v>0.0854</v>
      </c>
      <c r="G32" s="26"/>
      <c r="H32" s="26">
        <f>F32*AO32</f>
        <v>0</v>
      </c>
      <c r="I32" s="26">
        <f>F32*AP32</f>
        <v>0</v>
      </c>
      <c r="J32" s="26">
        <f>F32*G32</f>
        <v>0</v>
      </c>
      <c r="K32" s="26">
        <v>1.00349</v>
      </c>
      <c r="L32" s="26">
        <f>F32*K32</f>
        <v>0.085698046</v>
      </c>
      <c r="M32" s="27" t="s">
        <v>55</v>
      </c>
      <c r="Z32" s="26">
        <f>IF(AQ32="5",BJ32,0)</f>
        <v>0</v>
      </c>
      <c r="AB32" s="26">
        <f>IF(AQ32="1",BH32,0)</f>
        <v>0</v>
      </c>
      <c r="AC32" s="26">
        <f>IF(AQ32="1",BI32,0)</f>
        <v>0</v>
      </c>
      <c r="AD32" s="26">
        <f>IF(AQ32="7",BH32,0)</f>
        <v>0</v>
      </c>
      <c r="AE32" s="26">
        <f>IF(AQ32="7",BI32,0)</f>
        <v>0</v>
      </c>
      <c r="AF32" s="26">
        <f>IF(AQ32="2",BH32,0)</f>
        <v>0</v>
      </c>
      <c r="AG32" s="26">
        <f>IF(AQ32="2",BI32,0)</f>
        <v>0</v>
      </c>
      <c r="AH32" s="26">
        <f>IF(AQ32="0",BJ32,0)</f>
        <v>0</v>
      </c>
      <c r="AI32" s="18" t="s">
        <v>47</v>
      </c>
      <c r="AJ32" s="26">
        <f>IF(AN32=0,J32,0)</f>
        <v>0</v>
      </c>
      <c r="AK32" s="26">
        <f>IF(AN32=15,J32,0)</f>
        <v>0</v>
      </c>
      <c r="AL32" s="26">
        <f>IF(AN32=21,J32,0)</f>
        <v>0</v>
      </c>
      <c r="AN32" s="26">
        <v>21</v>
      </c>
      <c r="AO32" s="26">
        <f>G32*0.500398267950661</f>
        <v>0</v>
      </c>
      <c r="AP32" s="26">
        <f>G32*(1-0.500398267950661)</f>
        <v>0</v>
      </c>
      <c r="AQ32" s="27" t="s">
        <v>51</v>
      </c>
      <c r="AV32" s="26">
        <f>AW32+AX32</f>
        <v>0</v>
      </c>
      <c r="AW32" s="26">
        <f>F32*AO32</f>
        <v>0</v>
      </c>
      <c r="AX32" s="26">
        <f>F32*AP32</f>
        <v>0</v>
      </c>
      <c r="AY32" s="27" t="s">
        <v>91</v>
      </c>
      <c r="AZ32" s="27" t="s">
        <v>92</v>
      </c>
      <c r="BA32" s="18" t="s">
        <v>58</v>
      </c>
      <c r="BC32" s="26">
        <f>AW32+AX32</f>
        <v>0</v>
      </c>
      <c r="BD32" s="26">
        <f>G32/(100-BE32)*100</f>
        <v>0</v>
      </c>
      <c r="BE32" s="26">
        <v>0</v>
      </c>
      <c r="BF32" s="26">
        <f>L32</f>
        <v>0.085698046</v>
      </c>
      <c r="BH32" s="26">
        <f>F32*AO32</f>
        <v>0</v>
      </c>
      <c r="BI32" s="26">
        <f>F32*AP32</f>
        <v>0</v>
      </c>
      <c r="BJ32" s="26">
        <f>F32*G32</f>
        <v>0</v>
      </c>
    </row>
    <row r="33" spans="1:47" ht="12.75">
      <c r="A33" s="23"/>
      <c r="B33" s="24" t="s">
        <v>47</v>
      </c>
      <c r="C33" s="24" t="s">
        <v>112</v>
      </c>
      <c r="D33" s="24" t="s">
        <v>113</v>
      </c>
      <c r="E33" s="23" t="s">
        <v>4</v>
      </c>
      <c r="F33" s="23" t="s">
        <v>4</v>
      </c>
      <c r="G33" s="23"/>
      <c r="H33" s="25">
        <f>SUM(H34:H44)</f>
        <v>0</v>
      </c>
      <c r="I33" s="25">
        <f>SUM(I34:I44)</f>
        <v>0</v>
      </c>
      <c r="J33" s="25">
        <f>SUM(J34:J44)</f>
        <v>0</v>
      </c>
      <c r="K33" s="18"/>
      <c r="L33" s="25">
        <f>SUM(L34:L44)</f>
        <v>3.8377078051000004</v>
      </c>
      <c r="M33" s="18"/>
      <c r="AI33" s="18" t="s">
        <v>47</v>
      </c>
      <c r="AS33" s="25">
        <f>SUM(AJ34:AJ44)</f>
        <v>0</v>
      </c>
      <c r="AT33" s="25">
        <f>SUM(AK34:AK44)</f>
        <v>0</v>
      </c>
      <c r="AU33" s="25">
        <f>SUM(AL34:AL44)</f>
        <v>0</v>
      </c>
    </row>
    <row r="34" spans="1:62" ht="12.75">
      <c r="A34" s="3" t="s">
        <v>114</v>
      </c>
      <c r="B34" s="3" t="s">
        <v>47</v>
      </c>
      <c r="C34" s="3" t="s">
        <v>115</v>
      </c>
      <c r="D34" s="3" t="s">
        <v>116</v>
      </c>
      <c r="E34" s="3" t="s">
        <v>84</v>
      </c>
      <c r="F34" s="26">
        <v>4.365</v>
      </c>
      <c r="G34" s="26"/>
      <c r="H34" s="26">
        <f>F34*AO34</f>
        <v>0</v>
      </c>
      <c r="I34" s="26">
        <f>F34*AP34</f>
        <v>0</v>
      </c>
      <c r="J34" s="26">
        <f>F34*G34</f>
        <v>0</v>
      </c>
      <c r="K34" s="26">
        <v>0.50065</v>
      </c>
      <c r="L34" s="26">
        <f>F34*K34</f>
        <v>2.1853372500000003</v>
      </c>
      <c r="M34" s="27" t="s">
        <v>55</v>
      </c>
      <c r="Z34" s="26">
        <f>IF(AQ34="5",BJ34,0)</f>
        <v>0</v>
      </c>
      <c r="AB34" s="26">
        <f>IF(AQ34="1",BH34,0)</f>
        <v>0</v>
      </c>
      <c r="AC34" s="26">
        <f>IF(AQ34="1",BI34,0)</f>
        <v>0</v>
      </c>
      <c r="AD34" s="26">
        <f>IF(AQ34="7",BH34,0)</f>
        <v>0</v>
      </c>
      <c r="AE34" s="26">
        <f>IF(AQ34="7",BI34,0)</f>
        <v>0</v>
      </c>
      <c r="AF34" s="26">
        <f>IF(AQ34="2",BH34,0)</f>
        <v>0</v>
      </c>
      <c r="AG34" s="26">
        <f>IF(AQ34="2",BI34,0)</f>
        <v>0</v>
      </c>
      <c r="AH34" s="26">
        <f>IF(AQ34="0",BJ34,0)</f>
        <v>0</v>
      </c>
      <c r="AI34" s="18" t="s">
        <v>47</v>
      </c>
      <c r="AJ34" s="26">
        <f>IF(AN34=0,J34,0)</f>
        <v>0</v>
      </c>
      <c r="AK34" s="26">
        <f>IF(AN34=15,J34,0)</f>
        <v>0</v>
      </c>
      <c r="AL34" s="26">
        <f>IF(AN34=21,J34,0)</f>
        <v>0</v>
      </c>
      <c r="AN34" s="26">
        <v>21</v>
      </c>
      <c r="AO34" s="26">
        <f>G34*0.63297101076221</f>
        <v>0</v>
      </c>
      <c r="AP34" s="26">
        <f>G34*(1-0.63297101076221)</f>
        <v>0</v>
      </c>
      <c r="AQ34" s="27" t="s">
        <v>51</v>
      </c>
      <c r="AV34" s="26">
        <f>AW34+AX34</f>
        <v>0</v>
      </c>
      <c r="AW34" s="26">
        <f>F34*AO34</f>
        <v>0</v>
      </c>
      <c r="AX34" s="26">
        <f>F34*AP34</f>
        <v>0</v>
      </c>
      <c r="AY34" s="27" t="s">
        <v>117</v>
      </c>
      <c r="AZ34" s="27" t="s">
        <v>118</v>
      </c>
      <c r="BA34" s="18" t="s">
        <v>58</v>
      </c>
      <c r="BC34" s="26">
        <f>AW34+AX34</f>
        <v>0</v>
      </c>
      <c r="BD34" s="26">
        <f>G34/(100-BE34)*100</f>
        <v>0</v>
      </c>
      <c r="BE34" s="26">
        <v>0</v>
      </c>
      <c r="BF34" s="26">
        <f>L34</f>
        <v>2.1853372500000003</v>
      </c>
      <c r="BH34" s="26">
        <f>F34*AO34</f>
        <v>0</v>
      </c>
      <c r="BI34" s="26">
        <f>F34*AP34</f>
        <v>0</v>
      </c>
      <c r="BJ34" s="26">
        <f>F34*G34</f>
        <v>0</v>
      </c>
    </row>
    <row r="35" ht="12.75">
      <c r="D35" s="2" t="s">
        <v>119</v>
      </c>
    </row>
    <row r="36" spans="1:62" ht="12.75">
      <c r="A36" s="3" t="s">
        <v>62</v>
      </c>
      <c r="B36" s="3" t="s">
        <v>47</v>
      </c>
      <c r="C36" s="3" t="s">
        <v>120</v>
      </c>
      <c r="D36" s="3" t="s">
        <v>121</v>
      </c>
      <c r="E36" s="3" t="s">
        <v>111</v>
      </c>
      <c r="F36" s="26">
        <v>0.18019</v>
      </c>
      <c r="G36" s="26"/>
      <c r="H36" s="26">
        <f>F36*AO36</f>
        <v>0</v>
      </c>
      <c r="I36" s="26">
        <f>F36*AP36</f>
        <v>0</v>
      </c>
      <c r="J36" s="26">
        <f>F36*G36</f>
        <v>0</v>
      </c>
      <c r="K36" s="26">
        <v>1.02029</v>
      </c>
      <c r="L36" s="26">
        <f>F36*K36</f>
        <v>0.18384605509999996</v>
      </c>
      <c r="M36" s="27" t="s">
        <v>55</v>
      </c>
      <c r="Z36" s="26">
        <f>IF(AQ36="5",BJ36,0)</f>
        <v>0</v>
      </c>
      <c r="AB36" s="26">
        <f>IF(AQ36="1",BH36,0)</f>
        <v>0</v>
      </c>
      <c r="AC36" s="26">
        <f>IF(AQ36="1",BI36,0)</f>
        <v>0</v>
      </c>
      <c r="AD36" s="26">
        <f>IF(AQ36="7",BH36,0)</f>
        <v>0</v>
      </c>
      <c r="AE36" s="26">
        <f>IF(AQ36="7",BI36,0)</f>
        <v>0</v>
      </c>
      <c r="AF36" s="26">
        <f>IF(AQ36="2",BH36,0)</f>
        <v>0</v>
      </c>
      <c r="AG36" s="26">
        <f>IF(AQ36="2",BI36,0)</f>
        <v>0</v>
      </c>
      <c r="AH36" s="26">
        <f>IF(AQ36="0",BJ36,0)</f>
        <v>0</v>
      </c>
      <c r="AI36" s="18" t="s">
        <v>47</v>
      </c>
      <c r="AJ36" s="26">
        <f>IF(AN36=0,J36,0)</f>
        <v>0</v>
      </c>
      <c r="AK36" s="26">
        <f>IF(AN36=15,J36,0)</f>
        <v>0</v>
      </c>
      <c r="AL36" s="26">
        <f>IF(AN36=21,J36,0)</f>
        <v>0</v>
      </c>
      <c r="AN36" s="26">
        <v>21</v>
      </c>
      <c r="AO36" s="26">
        <f>G36*0.63150600067123</f>
        <v>0</v>
      </c>
      <c r="AP36" s="26">
        <f>G36*(1-0.63150600067123)</f>
        <v>0</v>
      </c>
      <c r="AQ36" s="27" t="s">
        <v>51</v>
      </c>
      <c r="AV36" s="26">
        <f>AW36+AX36</f>
        <v>0</v>
      </c>
      <c r="AW36" s="26">
        <f>F36*AO36</f>
        <v>0</v>
      </c>
      <c r="AX36" s="26">
        <f>F36*AP36</f>
        <v>0</v>
      </c>
      <c r="AY36" s="27" t="s">
        <v>117</v>
      </c>
      <c r="AZ36" s="27" t="s">
        <v>118</v>
      </c>
      <c r="BA36" s="18" t="s">
        <v>58</v>
      </c>
      <c r="BC36" s="26">
        <f>AW36+AX36</f>
        <v>0</v>
      </c>
      <c r="BD36" s="26">
        <f>G36/(100-BE36)*100</f>
        <v>0</v>
      </c>
      <c r="BE36" s="26">
        <v>0</v>
      </c>
      <c r="BF36" s="26">
        <f>L36</f>
        <v>0.18384605509999996</v>
      </c>
      <c r="BH36" s="26">
        <f>F36*AO36</f>
        <v>0</v>
      </c>
      <c r="BI36" s="26">
        <f>F36*AP36</f>
        <v>0</v>
      </c>
      <c r="BJ36" s="26">
        <f>F36*G36</f>
        <v>0</v>
      </c>
    </row>
    <row r="37" spans="1:62" ht="12.75">
      <c r="A37" s="3" t="s">
        <v>68</v>
      </c>
      <c r="B37" s="3" t="s">
        <v>47</v>
      </c>
      <c r="C37" s="3" t="s">
        <v>122</v>
      </c>
      <c r="D37" s="3" t="s">
        <v>123</v>
      </c>
      <c r="E37" s="3" t="s">
        <v>111</v>
      </c>
      <c r="F37" s="26">
        <v>0.16615</v>
      </c>
      <c r="G37" s="26"/>
      <c r="H37" s="26">
        <f>F37*AO37</f>
        <v>0</v>
      </c>
      <c r="I37" s="26">
        <f>F37*AP37</f>
        <v>0</v>
      </c>
      <c r="J37" s="26">
        <f>F37*G37</f>
        <v>0</v>
      </c>
      <c r="K37" s="26">
        <v>1.09</v>
      </c>
      <c r="L37" s="26">
        <f>F37*K37</f>
        <v>0.1811035</v>
      </c>
      <c r="M37" s="27" t="s">
        <v>55</v>
      </c>
      <c r="Z37" s="26">
        <f>IF(AQ37="5",BJ37,0)</f>
        <v>0</v>
      </c>
      <c r="AB37" s="26">
        <f>IF(AQ37="1",BH37,0)</f>
        <v>0</v>
      </c>
      <c r="AC37" s="26">
        <f>IF(AQ37="1",BI37,0)</f>
        <v>0</v>
      </c>
      <c r="AD37" s="26">
        <f>IF(AQ37="7",BH37,0)</f>
        <v>0</v>
      </c>
      <c r="AE37" s="26">
        <f>IF(AQ37="7",BI37,0)</f>
        <v>0</v>
      </c>
      <c r="AF37" s="26">
        <f>IF(AQ37="2",BH37,0)</f>
        <v>0</v>
      </c>
      <c r="AG37" s="26">
        <f>IF(AQ37="2",BI37,0)</f>
        <v>0</v>
      </c>
      <c r="AH37" s="26">
        <f>IF(AQ37="0",BJ37,0)</f>
        <v>0</v>
      </c>
      <c r="AI37" s="18" t="s">
        <v>47</v>
      </c>
      <c r="AJ37" s="26">
        <f>IF(AN37=0,J37,0)</f>
        <v>0</v>
      </c>
      <c r="AK37" s="26">
        <f>IF(AN37=15,J37,0)</f>
        <v>0</v>
      </c>
      <c r="AL37" s="26">
        <f>IF(AN37=21,J37,0)</f>
        <v>0</v>
      </c>
      <c r="AN37" s="26">
        <v>21</v>
      </c>
      <c r="AO37" s="26">
        <f>G37*0.727956507837066</f>
        <v>0</v>
      </c>
      <c r="AP37" s="26">
        <f>G37*(1-0.727956507837066)</f>
        <v>0</v>
      </c>
      <c r="AQ37" s="27" t="s">
        <v>51</v>
      </c>
      <c r="AV37" s="26">
        <f>AW37+AX37</f>
        <v>0</v>
      </c>
      <c r="AW37" s="26">
        <f>F37*AO37</f>
        <v>0</v>
      </c>
      <c r="AX37" s="26">
        <f>F37*AP37</f>
        <v>0</v>
      </c>
      <c r="AY37" s="27" t="s">
        <v>117</v>
      </c>
      <c r="AZ37" s="27" t="s">
        <v>118</v>
      </c>
      <c r="BA37" s="18" t="s">
        <v>58</v>
      </c>
      <c r="BC37" s="26">
        <f>AW37+AX37</f>
        <v>0</v>
      </c>
      <c r="BD37" s="26">
        <f>G37/(100-BE37)*100</f>
        <v>0</v>
      </c>
      <c r="BE37" s="26">
        <v>0</v>
      </c>
      <c r="BF37" s="26">
        <f>L37</f>
        <v>0.1811035</v>
      </c>
      <c r="BH37" s="26">
        <f>F37*AO37</f>
        <v>0</v>
      </c>
      <c r="BI37" s="26">
        <f>F37*AP37</f>
        <v>0</v>
      </c>
      <c r="BJ37" s="26">
        <f>F37*G37</f>
        <v>0</v>
      </c>
    </row>
    <row r="38" ht="12.75">
      <c r="D38" s="2" t="s">
        <v>124</v>
      </c>
    </row>
    <row r="39" spans="1:62" ht="12.75">
      <c r="A39" s="3" t="s">
        <v>79</v>
      </c>
      <c r="B39" s="3" t="s">
        <v>47</v>
      </c>
      <c r="C39" s="3" t="s">
        <v>125</v>
      </c>
      <c r="D39" s="3" t="s">
        <v>123</v>
      </c>
      <c r="E39" s="3" t="s">
        <v>111</v>
      </c>
      <c r="F39" s="26">
        <v>0.10633</v>
      </c>
      <c r="G39" s="26"/>
      <c r="H39" s="26">
        <f>F39*AO39</f>
        <v>0</v>
      </c>
      <c r="I39" s="26">
        <f>F39*AP39</f>
        <v>0</v>
      </c>
      <c r="J39" s="26">
        <f>F39*G39</f>
        <v>0</v>
      </c>
      <c r="K39" s="26">
        <v>1.09</v>
      </c>
      <c r="L39" s="26">
        <f>F39*K39</f>
        <v>0.11589970000000001</v>
      </c>
      <c r="M39" s="27" t="s">
        <v>55</v>
      </c>
      <c r="Z39" s="26">
        <f>IF(AQ39="5",BJ39,0)</f>
        <v>0</v>
      </c>
      <c r="AB39" s="26">
        <f>IF(AQ39="1",BH39,0)</f>
        <v>0</v>
      </c>
      <c r="AC39" s="26">
        <f>IF(AQ39="1",BI39,0)</f>
        <v>0</v>
      </c>
      <c r="AD39" s="26">
        <f>IF(AQ39="7",BH39,0)</f>
        <v>0</v>
      </c>
      <c r="AE39" s="26">
        <f>IF(AQ39="7",BI39,0)</f>
        <v>0</v>
      </c>
      <c r="AF39" s="26">
        <f>IF(AQ39="2",BH39,0)</f>
        <v>0</v>
      </c>
      <c r="AG39" s="26">
        <f>IF(AQ39="2",BI39,0)</f>
        <v>0</v>
      </c>
      <c r="AH39" s="26">
        <f>IF(AQ39="0",BJ39,0)</f>
        <v>0</v>
      </c>
      <c r="AI39" s="18" t="s">
        <v>47</v>
      </c>
      <c r="AJ39" s="26">
        <f>IF(AN39=0,J39,0)</f>
        <v>0</v>
      </c>
      <c r="AK39" s="26">
        <f>IF(AN39=15,J39,0)</f>
        <v>0</v>
      </c>
      <c r="AL39" s="26">
        <f>IF(AN39=21,J39,0)</f>
        <v>0</v>
      </c>
      <c r="AN39" s="26">
        <v>21</v>
      </c>
      <c r="AO39" s="26">
        <f>G39*0.717725084538398</f>
        <v>0</v>
      </c>
      <c r="AP39" s="26">
        <f>G39*(1-0.717725084538398)</f>
        <v>0</v>
      </c>
      <c r="AQ39" s="27" t="s">
        <v>51</v>
      </c>
      <c r="AV39" s="26">
        <f>AW39+AX39</f>
        <v>0</v>
      </c>
      <c r="AW39" s="26">
        <f>F39*AO39</f>
        <v>0</v>
      </c>
      <c r="AX39" s="26">
        <f>F39*AP39</f>
        <v>0</v>
      </c>
      <c r="AY39" s="27" t="s">
        <v>117</v>
      </c>
      <c r="AZ39" s="27" t="s">
        <v>118</v>
      </c>
      <c r="BA39" s="18" t="s">
        <v>58</v>
      </c>
      <c r="BC39" s="26">
        <f>AW39+AX39</f>
        <v>0</v>
      </c>
      <c r="BD39" s="26">
        <f>G39/(100-BE39)*100</f>
        <v>0</v>
      </c>
      <c r="BE39" s="26">
        <v>0</v>
      </c>
      <c r="BF39" s="26">
        <f>L39</f>
        <v>0.11589970000000001</v>
      </c>
      <c r="BH39" s="26">
        <f>F39*AO39</f>
        <v>0</v>
      </c>
      <c r="BI39" s="26">
        <f>F39*AP39</f>
        <v>0</v>
      </c>
      <c r="BJ39" s="26">
        <f>F39*G39</f>
        <v>0</v>
      </c>
    </row>
    <row r="40" ht="12.75">
      <c r="D40" s="2" t="s">
        <v>126</v>
      </c>
    </row>
    <row r="41" spans="1:62" ht="12.75">
      <c r="A41" s="3" t="s">
        <v>127</v>
      </c>
      <c r="B41" s="3" t="s">
        <v>47</v>
      </c>
      <c r="C41" s="3" t="s">
        <v>128</v>
      </c>
      <c r="D41" s="3" t="s">
        <v>129</v>
      </c>
      <c r="E41" s="3" t="s">
        <v>54</v>
      </c>
      <c r="F41" s="26">
        <v>0.37725</v>
      </c>
      <c r="G41" s="26"/>
      <c r="H41" s="26">
        <f>F41*AO41</f>
        <v>0</v>
      </c>
      <c r="I41" s="26">
        <f>F41*AP41</f>
        <v>0</v>
      </c>
      <c r="J41" s="26">
        <f>F41*G41</f>
        <v>0</v>
      </c>
      <c r="K41" s="26">
        <v>1.8196</v>
      </c>
      <c r="L41" s="26">
        <f>F41*K41</f>
        <v>0.6864441</v>
      </c>
      <c r="M41" s="27" t="s">
        <v>55</v>
      </c>
      <c r="Z41" s="26">
        <f>IF(AQ41="5",BJ41,0)</f>
        <v>0</v>
      </c>
      <c r="AB41" s="26">
        <f>IF(AQ41="1",BH41,0)</f>
        <v>0</v>
      </c>
      <c r="AC41" s="26">
        <f>IF(AQ41="1",BI41,0)</f>
        <v>0</v>
      </c>
      <c r="AD41" s="26">
        <f>IF(AQ41="7",BH41,0)</f>
        <v>0</v>
      </c>
      <c r="AE41" s="26">
        <f>IF(AQ41="7",BI41,0)</f>
        <v>0</v>
      </c>
      <c r="AF41" s="26">
        <f>IF(AQ41="2",BH41,0)</f>
        <v>0</v>
      </c>
      <c r="AG41" s="26">
        <f>IF(AQ41="2",BI41,0)</f>
        <v>0</v>
      </c>
      <c r="AH41" s="26">
        <f>IF(AQ41="0",BJ41,0)</f>
        <v>0</v>
      </c>
      <c r="AI41" s="18" t="s">
        <v>47</v>
      </c>
      <c r="AJ41" s="26">
        <f>IF(AN41=0,J41,0)</f>
        <v>0</v>
      </c>
      <c r="AK41" s="26">
        <f>IF(AN41=15,J41,0)</f>
        <v>0</v>
      </c>
      <c r="AL41" s="26">
        <f>IF(AN41=21,J41,0)</f>
        <v>0</v>
      </c>
      <c r="AN41" s="26">
        <v>21</v>
      </c>
      <c r="AO41" s="26">
        <f>G41*0.467105992173488</f>
        <v>0</v>
      </c>
      <c r="AP41" s="26">
        <f>G41*(1-0.467105992173488)</f>
        <v>0</v>
      </c>
      <c r="AQ41" s="27" t="s">
        <v>51</v>
      </c>
      <c r="AV41" s="26">
        <f>AW41+AX41</f>
        <v>0</v>
      </c>
      <c r="AW41" s="26">
        <f>F41*AO41</f>
        <v>0</v>
      </c>
      <c r="AX41" s="26">
        <f>F41*AP41</f>
        <v>0</v>
      </c>
      <c r="AY41" s="27" t="s">
        <v>117</v>
      </c>
      <c r="AZ41" s="27" t="s">
        <v>118</v>
      </c>
      <c r="BA41" s="18" t="s">
        <v>58</v>
      </c>
      <c r="BC41" s="26">
        <f>AW41+AX41</f>
        <v>0</v>
      </c>
      <c r="BD41" s="26">
        <f>G41/(100-BE41)*100</f>
        <v>0</v>
      </c>
      <c r="BE41" s="26">
        <v>0</v>
      </c>
      <c r="BF41" s="26">
        <f>L41</f>
        <v>0.6864441</v>
      </c>
      <c r="BH41" s="26">
        <f>F41*AO41</f>
        <v>0</v>
      </c>
      <c r="BI41" s="26">
        <f>F41*AP41</f>
        <v>0</v>
      </c>
      <c r="BJ41" s="26">
        <f>F41*G41</f>
        <v>0</v>
      </c>
    </row>
    <row r="42" spans="1:62" ht="12.75">
      <c r="A42" s="3" t="s">
        <v>130</v>
      </c>
      <c r="B42" s="3" t="s">
        <v>47</v>
      </c>
      <c r="C42" s="3" t="s">
        <v>131</v>
      </c>
      <c r="D42" s="3" t="s">
        <v>132</v>
      </c>
      <c r="E42" s="3" t="s">
        <v>133</v>
      </c>
      <c r="F42" s="26">
        <v>1</v>
      </c>
      <c r="G42" s="26"/>
      <c r="H42" s="26">
        <f>F42*AO42</f>
        <v>0</v>
      </c>
      <c r="I42" s="26">
        <f>F42*AP42</f>
        <v>0</v>
      </c>
      <c r="J42" s="26">
        <f>F42*G42</f>
        <v>0</v>
      </c>
      <c r="K42" s="26">
        <v>0.04542</v>
      </c>
      <c r="L42" s="26">
        <f>F42*K42</f>
        <v>0.04542</v>
      </c>
      <c r="M42" s="27" t="s">
        <v>55</v>
      </c>
      <c r="Z42" s="26">
        <f>IF(AQ42="5",BJ42,0)</f>
        <v>0</v>
      </c>
      <c r="AB42" s="26">
        <f>IF(AQ42="1",BH42,0)</f>
        <v>0</v>
      </c>
      <c r="AC42" s="26">
        <f>IF(AQ42="1",BI42,0)</f>
        <v>0</v>
      </c>
      <c r="AD42" s="26">
        <f>IF(AQ42="7",BH42,0)</f>
        <v>0</v>
      </c>
      <c r="AE42" s="26">
        <f>IF(AQ42="7",BI42,0)</f>
        <v>0</v>
      </c>
      <c r="AF42" s="26">
        <f>IF(AQ42="2",BH42,0)</f>
        <v>0</v>
      </c>
      <c r="AG42" s="26">
        <f>IF(AQ42="2",BI42,0)</f>
        <v>0</v>
      </c>
      <c r="AH42" s="26">
        <f>IF(AQ42="0",BJ42,0)</f>
        <v>0</v>
      </c>
      <c r="AI42" s="18" t="s">
        <v>47</v>
      </c>
      <c r="AJ42" s="26">
        <f>IF(AN42=0,J42,0)</f>
        <v>0</v>
      </c>
      <c r="AK42" s="26">
        <f>IF(AN42=15,J42,0)</f>
        <v>0</v>
      </c>
      <c r="AL42" s="26">
        <f>IF(AN42=21,J42,0)</f>
        <v>0</v>
      </c>
      <c r="AN42" s="26">
        <v>21</v>
      </c>
      <c r="AO42" s="26">
        <f>G42*0.528682926829268</f>
        <v>0</v>
      </c>
      <c r="AP42" s="26">
        <f>G42*(1-0.528682926829268)</f>
        <v>0</v>
      </c>
      <c r="AQ42" s="27" t="s">
        <v>51</v>
      </c>
      <c r="AV42" s="26">
        <f>AW42+AX42</f>
        <v>0</v>
      </c>
      <c r="AW42" s="26">
        <f>F42*AO42</f>
        <v>0</v>
      </c>
      <c r="AX42" s="26">
        <f>F42*AP42</f>
        <v>0</v>
      </c>
      <c r="AY42" s="27" t="s">
        <v>117</v>
      </c>
      <c r="AZ42" s="27" t="s">
        <v>118</v>
      </c>
      <c r="BA42" s="18" t="s">
        <v>58</v>
      </c>
      <c r="BC42" s="26">
        <f>AW42+AX42</f>
        <v>0</v>
      </c>
      <c r="BD42" s="26">
        <f>G42/(100-BE42)*100</f>
        <v>0</v>
      </c>
      <c r="BE42" s="26">
        <v>0</v>
      </c>
      <c r="BF42" s="26">
        <f>L42</f>
        <v>0.04542</v>
      </c>
      <c r="BH42" s="26">
        <f>F42*AO42</f>
        <v>0</v>
      </c>
      <c r="BI42" s="26">
        <f>F42*AP42</f>
        <v>0</v>
      </c>
      <c r="BJ42" s="26">
        <f>F42*G42</f>
        <v>0</v>
      </c>
    </row>
    <row r="43" ht="12.75">
      <c r="D43" s="2" t="s">
        <v>134</v>
      </c>
    </row>
    <row r="44" spans="1:62" ht="12.75">
      <c r="A44" s="3" t="s">
        <v>135</v>
      </c>
      <c r="B44" s="3" t="s">
        <v>47</v>
      </c>
      <c r="C44" s="3" t="s">
        <v>136</v>
      </c>
      <c r="D44" s="3" t="s">
        <v>137</v>
      </c>
      <c r="E44" s="3" t="s">
        <v>54</v>
      </c>
      <c r="F44" s="26">
        <v>0.27</v>
      </c>
      <c r="G44" s="26"/>
      <c r="H44" s="26">
        <f>F44*AO44</f>
        <v>0</v>
      </c>
      <c r="I44" s="26">
        <f>F44*AP44</f>
        <v>0</v>
      </c>
      <c r="J44" s="26">
        <f>F44*G44</f>
        <v>0</v>
      </c>
      <c r="K44" s="26">
        <v>1.62836</v>
      </c>
      <c r="L44" s="26">
        <f>F44*K44</f>
        <v>0.4396572</v>
      </c>
      <c r="M44" s="27" t="s">
        <v>55</v>
      </c>
      <c r="Z44" s="26">
        <f>IF(AQ44="5",BJ44,0)</f>
        <v>0</v>
      </c>
      <c r="AB44" s="26">
        <f>IF(AQ44="1",BH44,0)</f>
        <v>0</v>
      </c>
      <c r="AC44" s="26">
        <f>IF(AQ44="1",BI44,0)</f>
        <v>0</v>
      </c>
      <c r="AD44" s="26">
        <f>IF(AQ44="7",BH44,0)</f>
        <v>0</v>
      </c>
      <c r="AE44" s="26">
        <f>IF(AQ44="7",BI44,0)</f>
        <v>0</v>
      </c>
      <c r="AF44" s="26">
        <f>IF(AQ44="2",BH44,0)</f>
        <v>0</v>
      </c>
      <c r="AG44" s="26">
        <f>IF(AQ44="2",BI44,0)</f>
        <v>0</v>
      </c>
      <c r="AH44" s="26">
        <f>IF(AQ44="0",BJ44,0)</f>
        <v>0</v>
      </c>
      <c r="AI44" s="18" t="s">
        <v>47</v>
      </c>
      <c r="AJ44" s="26">
        <f>IF(AN44=0,J44,0)</f>
        <v>0</v>
      </c>
      <c r="AK44" s="26">
        <f>IF(AN44=15,J44,0)</f>
        <v>0</v>
      </c>
      <c r="AL44" s="26">
        <f>IF(AN44=21,J44,0)</f>
        <v>0</v>
      </c>
      <c r="AN44" s="26">
        <v>21</v>
      </c>
      <c r="AO44" s="26">
        <f>G44*0.627053505535055</f>
        <v>0</v>
      </c>
      <c r="AP44" s="26">
        <f>G44*(1-0.627053505535055)</f>
        <v>0</v>
      </c>
      <c r="AQ44" s="27" t="s">
        <v>51</v>
      </c>
      <c r="AV44" s="26">
        <f>AW44+AX44</f>
        <v>0</v>
      </c>
      <c r="AW44" s="26">
        <f>F44*AO44</f>
        <v>0</v>
      </c>
      <c r="AX44" s="26">
        <f>F44*AP44</f>
        <v>0</v>
      </c>
      <c r="AY44" s="27" t="s">
        <v>117</v>
      </c>
      <c r="AZ44" s="27" t="s">
        <v>118</v>
      </c>
      <c r="BA44" s="18" t="s">
        <v>58</v>
      </c>
      <c r="BC44" s="26">
        <f>AW44+AX44</f>
        <v>0</v>
      </c>
      <c r="BD44" s="26">
        <f>G44/(100-BE44)*100</f>
        <v>0</v>
      </c>
      <c r="BE44" s="26">
        <v>0</v>
      </c>
      <c r="BF44" s="26">
        <f>L44</f>
        <v>0.4396572</v>
      </c>
      <c r="BH44" s="26">
        <f>F44*AO44</f>
        <v>0</v>
      </c>
      <c r="BI44" s="26">
        <f>F44*AP44</f>
        <v>0</v>
      </c>
      <c r="BJ44" s="26">
        <f>F44*G44</f>
        <v>0</v>
      </c>
    </row>
    <row r="45" ht="12.75">
      <c r="D45" s="2" t="s">
        <v>134</v>
      </c>
    </row>
    <row r="46" spans="1:47" ht="12.75">
      <c r="A46" s="23"/>
      <c r="B46" s="24" t="s">
        <v>47</v>
      </c>
      <c r="C46" s="24" t="s">
        <v>138</v>
      </c>
      <c r="D46" s="24" t="s">
        <v>139</v>
      </c>
      <c r="E46" s="23" t="s">
        <v>4</v>
      </c>
      <c r="F46" s="23" t="s">
        <v>4</v>
      </c>
      <c r="G46" s="23"/>
      <c r="H46" s="25">
        <f>SUM(H47:H47)</f>
        <v>0</v>
      </c>
      <c r="I46" s="25">
        <f>SUM(I47:I47)</f>
        <v>0</v>
      </c>
      <c r="J46" s="25">
        <f>SUM(J47:J47)</f>
        <v>0</v>
      </c>
      <c r="K46" s="18"/>
      <c r="L46" s="25">
        <f>SUM(L47:L47)</f>
        <v>0.16893599999999998</v>
      </c>
      <c r="M46" s="18"/>
      <c r="AI46" s="18" t="s">
        <v>47</v>
      </c>
      <c r="AS46" s="25">
        <f>SUM(AJ47:AJ47)</f>
        <v>0</v>
      </c>
      <c r="AT46" s="25">
        <f>SUM(AK47:AK47)</f>
        <v>0</v>
      </c>
      <c r="AU46" s="25">
        <f>SUM(AL47:AL47)</f>
        <v>0</v>
      </c>
    </row>
    <row r="47" spans="1:62" ht="12.75">
      <c r="A47" s="3" t="s">
        <v>140</v>
      </c>
      <c r="B47" s="3" t="s">
        <v>47</v>
      </c>
      <c r="C47" s="3" t="s">
        <v>141</v>
      </c>
      <c r="D47" s="3" t="s">
        <v>142</v>
      </c>
      <c r="E47" s="3" t="s">
        <v>84</v>
      </c>
      <c r="F47" s="26">
        <v>0.6</v>
      </c>
      <c r="G47" s="26"/>
      <c r="H47" s="26">
        <f>F47*AO47</f>
        <v>0</v>
      </c>
      <c r="I47" s="26">
        <f>F47*AP47</f>
        <v>0</v>
      </c>
      <c r="J47" s="26">
        <f>F47*G47</f>
        <v>0</v>
      </c>
      <c r="K47" s="26">
        <v>0.28156</v>
      </c>
      <c r="L47" s="26">
        <f>F47*K47</f>
        <v>0.16893599999999998</v>
      </c>
      <c r="M47" s="27" t="s">
        <v>55</v>
      </c>
      <c r="Z47" s="26">
        <f>IF(AQ47="5",BJ47,0)</f>
        <v>0</v>
      </c>
      <c r="AB47" s="26">
        <f>IF(AQ47="1",BH47,0)</f>
        <v>0</v>
      </c>
      <c r="AC47" s="26">
        <f>IF(AQ47="1",BI47,0)</f>
        <v>0</v>
      </c>
      <c r="AD47" s="26">
        <f>IF(AQ47="7",BH47,0)</f>
        <v>0</v>
      </c>
      <c r="AE47" s="26">
        <f>IF(AQ47="7",BI47,0)</f>
        <v>0</v>
      </c>
      <c r="AF47" s="26">
        <f>IF(AQ47="2",BH47,0)</f>
        <v>0</v>
      </c>
      <c r="AG47" s="26">
        <f>IF(AQ47="2",BI47,0)</f>
        <v>0</v>
      </c>
      <c r="AH47" s="26">
        <f>IF(AQ47="0",BJ47,0)</f>
        <v>0</v>
      </c>
      <c r="AI47" s="18" t="s">
        <v>47</v>
      </c>
      <c r="AJ47" s="26">
        <f>IF(AN47=0,J47,0)</f>
        <v>0</v>
      </c>
      <c r="AK47" s="26">
        <f>IF(AN47=15,J47,0)</f>
        <v>0</v>
      </c>
      <c r="AL47" s="26">
        <f>IF(AN47=21,J47,0)</f>
        <v>0</v>
      </c>
      <c r="AN47" s="26">
        <v>21</v>
      </c>
      <c r="AO47" s="26">
        <f>G47*0.370750281923229</f>
        <v>0</v>
      </c>
      <c r="AP47" s="26">
        <f>G47*(1-0.370750281923229)</f>
        <v>0</v>
      </c>
      <c r="AQ47" s="27" t="s">
        <v>51</v>
      </c>
      <c r="AV47" s="26">
        <f>AW47+AX47</f>
        <v>0</v>
      </c>
      <c r="AW47" s="26">
        <f>F47*AO47</f>
        <v>0</v>
      </c>
      <c r="AX47" s="26">
        <f>F47*AP47</f>
        <v>0</v>
      </c>
      <c r="AY47" s="27" t="s">
        <v>143</v>
      </c>
      <c r="AZ47" s="27" t="s">
        <v>118</v>
      </c>
      <c r="BA47" s="18" t="s">
        <v>58</v>
      </c>
      <c r="BC47" s="26">
        <f>AW47+AX47</f>
        <v>0</v>
      </c>
      <c r="BD47" s="26">
        <f>G47/(100-BE47)*100</f>
        <v>0</v>
      </c>
      <c r="BE47" s="26">
        <v>0</v>
      </c>
      <c r="BF47" s="26">
        <f>L47</f>
        <v>0.16893599999999998</v>
      </c>
      <c r="BH47" s="26">
        <f>F47*AO47</f>
        <v>0</v>
      </c>
      <c r="BI47" s="26">
        <f>F47*AP47</f>
        <v>0</v>
      </c>
      <c r="BJ47" s="26">
        <f>F47*G47</f>
        <v>0</v>
      </c>
    </row>
    <row r="48" spans="1:47" ht="12.75">
      <c r="A48" s="23"/>
      <c r="B48" s="24" t="s">
        <v>47</v>
      </c>
      <c r="C48" s="24" t="s">
        <v>144</v>
      </c>
      <c r="D48" s="24" t="s">
        <v>145</v>
      </c>
      <c r="E48" s="23" t="s">
        <v>4</v>
      </c>
      <c r="F48" s="23" t="s">
        <v>4</v>
      </c>
      <c r="G48" s="23"/>
      <c r="H48" s="25">
        <f>SUM(H49:H49)</f>
        <v>0</v>
      </c>
      <c r="I48" s="25">
        <f>SUM(I49:I49)</f>
        <v>0</v>
      </c>
      <c r="J48" s="25">
        <f>SUM(J49:J49)</f>
        <v>0</v>
      </c>
      <c r="K48" s="18"/>
      <c r="L48" s="25">
        <f>SUM(L49:L49)</f>
        <v>0.407592</v>
      </c>
      <c r="M48" s="18"/>
      <c r="AI48" s="18" t="s">
        <v>47</v>
      </c>
      <c r="AS48" s="25">
        <f>SUM(AJ49:AJ49)</f>
        <v>0</v>
      </c>
      <c r="AT48" s="25">
        <f>SUM(AK49:AK49)</f>
        <v>0</v>
      </c>
      <c r="AU48" s="25">
        <f>SUM(AL49:AL49)</f>
        <v>0</v>
      </c>
    </row>
    <row r="49" spans="1:62" ht="12.75">
      <c r="A49" s="3" t="s">
        <v>146</v>
      </c>
      <c r="B49" s="3" t="s">
        <v>47</v>
      </c>
      <c r="C49" s="3" t="s">
        <v>147</v>
      </c>
      <c r="D49" s="3" t="s">
        <v>148</v>
      </c>
      <c r="E49" s="3" t="s">
        <v>54</v>
      </c>
      <c r="F49" s="26">
        <v>0.36</v>
      </c>
      <c r="G49" s="26"/>
      <c r="H49" s="26">
        <f>F49*AO49</f>
        <v>0</v>
      </c>
      <c r="I49" s="26">
        <f>F49*AP49</f>
        <v>0</v>
      </c>
      <c r="J49" s="26">
        <f>F49*G49</f>
        <v>0</v>
      </c>
      <c r="K49" s="26">
        <v>1.1322</v>
      </c>
      <c r="L49" s="26">
        <f>F49*K49</f>
        <v>0.407592</v>
      </c>
      <c r="M49" s="27" t="s">
        <v>77</v>
      </c>
      <c r="Z49" s="26">
        <f>IF(AQ49="5",BJ49,0)</f>
        <v>0</v>
      </c>
      <c r="AB49" s="26">
        <f>IF(AQ49="1",BH49,0)</f>
        <v>0</v>
      </c>
      <c r="AC49" s="26">
        <f>IF(AQ49="1",BI49,0)</f>
        <v>0</v>
      </c>
      <c r="AD49" s="26">
        <f>IF(AQ49="7",BH49,0)</f>
        <v>0</v>
      </c>
      <c r="AE49" s="26">
        <f>IF(AQ49="7",BI49,0)</f>
        <v>0</v>
      </c>
      <c r="AF49" s="26">
        <f>IF(AQ49="2",BH49,0)</f>
        <v>0</v>
      </c>
      <c r="AG49" s="26">
        <f>IF(AQ49="2",BI49,0)</f>
        <v>0</v>
      </c>
      <c r="AH49" s="26">
        <f>IF(AQ49="0",BJ49,0)</f>
        <v>0</v>
      </c>
      <c r="AI49" s="18" t="s">
        <v>47</v>
      </c>
      <c r="AJ49" s="26">
        <f>IF(AN49=0,J49,0)</f>
        <v>0</v>
      </c>
      <c r="AK49" s="26">
        <f>IF(AN49=15,J49,0)</f>
        <v>0</v>
      </c>
      <c r="AL49" s="26">
        <f>IF(AN49=21,J49,0)</f>
        <v>0</v>
      </c>
      <c r="AN49" s="26">
        <v>21</v>
      </c>
      <c r="AO49" s="26">
        <f>G49*0.513643996641478</f>
        <v>0</v>
      </c>
      <c r="AP49" s="26">
        <f>G49*(1-0.513643996641478)</f>
        <v>0</v>
      </c>
      <c r="AQ49" s="27" t="s">
        <v>51</v>
      </c>
      <c r="AV49" s="26">
        <f>AW49+AX49</f>
        <v>0</v>
      </c>
      <c r="AW49" s="26">
        <f>F49*AO49</f>
        <v>0</v>
      </c>
      <c r="AX49" s="26">
        <f>F49*AP49</f>
        <v>0</v>
      </c>
      <c r="AY49" s="27" t="s">
        <v>149</v>
      </c>
      <c r="AZ49" s="27" t="s">
        <v>150</v>
      </c>
      <c r="BA49" s="18" t="s">
        <v>58</v>
      </c>
      <c r="BC49" s="26">
        <f>AW49+AX49</f>
        <v>0</v>
      </c>
      <c r="BD49" s="26">
        <f>G49/(100-BE49)*100</f>
        <v>0</v>
      </c>
      <c r="BE49" s="26">
        <v>0</v>
      </c>
      <c r="BF49" s="26">
        <f>L49</f>
        <v>0.407592</v>
      </c>
      <c r="BH49" s="26">
        <f>F49*AO49</f>
        <v>0</v>
      </c>
      <c r="BI49" s="26">
        <f>F49*AP49</f>
        <v>0</v>
      </c>
      <c r="BJ49" s="26">
        <f>F49*G49</f>
        <v>0</v>
      </c>
    </row>
    <row r="50" spans="1:47" ht="12.75">
      <c r="A50" s="23"/>
      <c r="B50" s="24" t="s">
        <v>47</v>
      </c>
      <c r="C50" s="24" t="s">
        <v>151</v>
      </c>
      <c r="D50" s="24" t="s">
        <v>152</v>
      </c>
      <c r="E50" s="23" t="s">
        <v>4</v>
      </c>
      <c r="F50" s="23" t="s">
        <v>4</v>
      </c>
      <c r="G50" s="23"/>
      <c r="H50" s="25">
        <f>SUM(H51:H51)</f>
        <v>0</v>
      </c>
      <c r="I50" s="25">
        <f>SUM(I51:I51)</f>
        <v>0</v>
      </c>
      <c r="J50" s="25">
        <f>SUM(J51:J51)</f>
        <v>0</v>
      </c>
      <c r="K50" s="18"/>
      <c r="L50" s="25">
        <f>SUM(L51:L51)</f>
        <v>0.3528</v>
      </c>
      <c r="M50" s="18"/>
      <c r="AI50" s="18" t="s">
        <v>47</v>
      </c>
      <c r="AS50" s="25">
        <f>SUM(AJ51:AJ51)</f>
        <v>0</v>
      </c>
      <c r="AT50" s="25">
        <f>SUM(AK51:AK51)</f>
        <v>0</v>
      </c>
      <c r="AU50" s="25">
        <f>SUM(AL51:AL51)</f>
        <v>0</v>
      </c>
    </row>
    <row r="51" spans="1:62" ht="12.75">
      <c r="A51" s="3" t="s">
        <v>153</v>
      </c>
      <c r="B51" s="3" t="s">
        <v>47</v>
      </c>
      <c r="C51" s="3" t="s">
        <v>154</v>
      </c>
      <c r="D51" s="3" t="s">
        <v>155</v>
      </c>
      <c r="E51" s="3" t="s">
        <v>156</v>
      </c>
      <c r="F51" s="26">
        <v>4</v>
      </c>
      <c r="G51" s="26"/>
      <c r="H51" s="26">
        <f>F51*AO51</f>
        <v>0</v>
      </c>
      <c r="I51" s="26">
        <f>F51*AP51</f>
        <v>0</v>
      </c>
      <c r="J51" s="26">
        <f>F51*G51</f>
        <v>0</v>
      </c>
      <c r="K51" s="26">
        <v>0.0882</v>
      </c>
      <c r="L51" s="26">
        <f>F51*K51</f>
        <v>0.3528</v>
      </c>
      <c r="M51" s="27" t="s">
        <v>55</v>
      </c>
      <c r="Z51" s="26">
        <f>IF(AQ51="5",BJ51,0)</f>
        <v>0</v>
      </c>
      <c r="AB51" s="26">
        <f>IF(AQ51="1",BH51,0)</f>
        <v>0</v>
      </c>
      <c r="AC51" s="26">
        <f>IF(AQ51="1",BI51,0)</f>
        <v>0</v>
      </c>
      <c r="AD51" s="26">
        <f>IF(AQ51="7",BH51,0)</f>
        <v>0</v>
      </c>
      <c r="AE51" s="26">
        <f>IF(AQ51="7",BI51,0)</f>
        <v>0</v>
      </c>
      <c r="AF51" s="26">
        <f>IF(AQ51="2",BH51,0)</f>
        <v>0</v>
      </c>
      <c r="AG51" s="26">
        <f>IF(AQ51="2",BI51,0)</f>
        <v>0</v>
      </c>
      <c r="AH51" s="26">
        <f>IF(AQ51="0",BJ51,0)</f>
        <v>0</v>
      </c>
      <c r="AI51" s="18" t="s">
        <v>47</v>
      </c>
      <c r="AJ51" s="26">
        <f>IF(AN51=0,J51,0)</f>
        <v>0</v>
      </c>
      <c r="AK51" s="26">
        <f>IF(AN51=15,J51,0)</f>
        <v>0</v>
      </c>
      <c r="AL51" s="26">
        <f>IF(AN51=21,J51,0)</f>
        <v>0</v>
      </c>
      <c r="AN51" s="26">
        <v>21</v>
      </c>
      <c r="AO51" s="26">
        <f>G51*0.868838040080648</f>
        <v>0</v>
      </c>
      <c r="AP51" s="26">
        <f>G51*(1-0.868838040080648)</f>
        <v>0</v>
      </c>
      <c r="AQ51" s="27" t="s">
        <v>51</v>
      </c>
      <c r="AV51" s="26">
        <f>AW51+AX51</f>
        <v>0</v>
      </c>
      <c r="AW51" s="26">
        <f>F51*AO51</f>
        <v>0</v>
      </c>
      <c r="AX51" s="26">
        <f>F51*AP51</f>
        <v>0</v>
      </c>
      <c r="AY51" s="27" t="s">
        <v>157</v>
      </c>
      <c r="AZ51" s="27" t="s">
        <v>158</v>
      </c>
      <c r="BA51" s="18" t="s">
        <v>58</v>
      </c>
      <c r="BC51" s="26">
        <f>AW51+AX51</f>
        <v>0</v>
      </c>
      <c r="BD51" s="26">
        <f>G51/(100-BE51)*100</f>
        <v>0</v>
      </c>
      <c r="BE51" s="26">
        <v>0</v>
      </c>
      <c r="BF51" s="26">
        <f>L51</f>
        <v>0.3528</v>
      </c>
      <c r="BH51" s="26">
        <f>F51*AO51</f>
        <v>0</v>
      </c>
      <c r="BI51" s="26">
        <f>F51*AP51</f>
        <v>0</v>
      </c>
      <c r="BJ51" s="26">
        <f>F51*G51</f>
        <v>0</v>
      </c>
    </row>
    <row r="52" spans="1:47" ht="12.75">
      <c r="A52" s="23"/>
      <c r="B52" s="24" t="s">
        <v>47</v>
      </c>
      <c r="C52" s="24" t="s">
        <v>159</v>
      </c>
      <c r="D52" s="24" t="s">
        <v>160</v>
      </c>
      <c r="E52" s="23" t="s">
        <v>4</v>
      </c>
      <c r="F52" s="23" t="s">
        <v>4</v>
      </c>
      <c r="G52" s="23"/>
      <c r="H52" s="25">
        <f>SUM(H53:H54)</f>
        <v>0</v>
      </c>
      <c r="I52" s="25">
        <f>SUM(I53:I54)</f>
        <v>0</v>
      </c>
      <c r="J52" s="25">
        <f>SUM(J53:J54)</f>
        <v>0</v>
      </c>
      <c r="K52" s="18"/>
      <c r="L52" s="25">
        <f>SUM(L53:L54)</f>
        <v>0.6738500000000001</v>
      </c>
      <c r="M52" s="18"/>
      <c r="AI52" s="18" t="s">
        <v>47</v>
      </c>
      <c r="AS52" s="25">
        <f>SUM(AJ53:AJ54)</f>
        <v>0</v>
      </c>
      <c r="AT52" s="25">
        <f>SUM(AK53:AK54)</f>
        <v>0</v>
      </c>
      <c r="AU52" s="25">
        <f>SUM(AL53:AL54)</f>
        <v>0</v>
      </c>
    </row>
    <row r="53" spans="1:62" ht="12.75">
      <c r="A53" s="3" t="s">
        <v>161</v>
      </c>
      <c r="B53" s="3" t="s">
        <v>47</v>
      </c>
      <c r="C53" s="3" t="s">
        <v>162</v>
      </c>
      <c r="D53" s="3" t="s">
        <v>163</v>
      </c>
      <c r="E53" s="3" t="s">
        <v>84</v>
      </c>
      <c r="F53" s="26">
        <v>9</v>
      </c>
      <c r="G53" s="26"/>
      <c r="H53" s="26">
        <f>F53*AO53</f>
        <v>0</v>
      </c>
      <c r="I53" s="26">
        <f>F53*AP53</f>
        <v>0</v>
      </c>
      <c r="J53" s="26">
        <f>F53*G53</f>
        <v>0</v>
      </c>
      <c r="K53" s="26">
        <v>0.05369</v>
      </c>
      <c r="L53" s="26">
        <f>F53*K53</f>
        <v>0.48321000000000003</v>
      </c>
      <c r="M53" s="27" t="s">
        <v>55</v>
      </c>
      <c r="Z53" s="26">
        <f>IF(AQ53="5",BJ53,0)</f>
        <v>0</v>
      </c>
      <c r="AB53" s="26">
        <f>IF(AQ53="1",BH53,0)</f>
        <v>0</v>
      </c>
      <c r="AC53" s="26">
        <f>IF(AQ53="1",BI53,0)</f>
        <v>0</v>
      </c>
      <c r="AD53" s="26">
        <f>IF(AQ53="7",BH53,0)</f>
        <v>0</v>
      </c>
      <c r="AE53" s="26">
        <f>IF(AQ53="7",BI53,0)</f>
        <v>0</v>
      </c>
      <c r="AF53" s="26">
        <f>IF(AQ53="2",BH53,0)</f>
        <v>0</v>
      </c>
      <c r="AG53" s="26">
        <f>IF(AQ53="2",BI53,0)</f>
        <v>0</v>
      </c>
      <c r="AH53" s="26">
        <f>IF(AQ53="0",BJ53,0)</f>
        <v>0</v>
      </c>
      <c r="AI53" s="18" t="s">
        <v>47</v>
      </c>
      <c r="AJ53" s="26">
        <f>IF(AN53=0,J53,0)</f>
        <v>0</v>
      </c>
      <c r="AK53" s="26">
        <f>IF(AN53=15,J53,0)</f>
        <v>0</v>
      </c>
      <c r="AL53" s="26">
        <f>IF(AN53=21,J53,0)</f>
        <v>0</v>
      </c>
      <c r="AN53" s="26">
        <v>21</v>
      </c>
      <c r="AO53" s="26">
        <f>G53*0.144534351145038</f>
        <v>0</v>
      </c>
      <c r="AP53" s="26">
        <f>G53*(1-0.144534351145038)</f>
        <v>0</v>
      </c>
      <c r="AQ53" s="27" t="s">
        <v>51</v>
      </c>
      <c r="AV53" s="26">
        <f>AW53+AX53</f>
        <v>0</v>
      </c>
      <c r="AW53" s="26">
        <f>F53*AO53</f>
        <v>0</v>
      </c>
      <c r="AX53" s="26">
        <f>F53*AP53</f>
        <v>0</v>
      </c>
      <c r="AY53" s="27" t="s">
        <v>164</v>
      </c>
      <c r="AZ53" s="27" t="s">
        <v>165</v>
      </c>
      <c r="BA53" s="18" t="s">
        <v>58</v>
      </c>
      <c r="BC53" s="26">
        <f>AW53+AX53</f>
        <v>0</v>
      </c>
      <c r="BD53" s="26">
        <f>G53/(100-BE53)*100</f>
        <v>0</v>
      </c>
      <c r="BE53" s="26">
        <v>0</v>
      </c>
      <c r="BF53" s="26">
        <f>L53</f>
        <v>0.48321000000000003</v>
      </c>
      <c r="BH53" s="26">
        <f>F53*AO53</f>
        <v>0</v>
      </c>
      <c r="BI53" s="26">
        <f>F53*AP53</f>
        <v>0</v>
      </c>
      <c r="BJ53" s="26">
        <f>F53*G53</f>
        <v>0</v>
      </c>
    </row>
    <row r="54" spans="1:62" ht="12.75">
      <c r="A54" s="3" t="s">
        <v>166</v>
      </c>
      <c r="B54" s="3" t="s">
        <v>47</v>
      </c>
      <c r="C54" s="3" t="s">
        <v>167</v>
      </c>
      <c r="D54" s="3" t="s">
        <v>168</v>
      </c>
      <c r="E54" s="3" t="s">
        <v>84</v>
      </c>
      <c r="F54" s="26">
        <v>4</v>
      </c>
      <c r="G54" s="26"/>
      <c r="H54" s="26">
        <f>F54*AO54</f>
        <v>0</v>
      </c>
      <c r="I54" s="26">
        <f>F54*AP54</f>
        <v>0</v>
      </c>
      <c r="J54" s="26">
        <f>F54*G54</f>
        <v>0</v>
      </c>
      <c r="K54" s="26">
        <v>0.04766</v>
      </c>
      <c r="L54" s="26">
        <f>F54*K54</f>
        <v>0.19064</v>
      </c>
      <c r="M54" s="27" t="s">
        <v>55</v>
      </c>
      <c r="Z54" s="26">
        <f>IF(AQ54="5",BJ54,0)</f>
        <v>0</v>
      </c>
      <c r="AB54" s="26">
        <f>IF(AQ54="1",BH54,0)</f>
        <v>0</v>
      </c>
      <c r="AC54" s="26">
        <f>IF(AQ54="1",BI54,0)</f>
        <v>0</v>
      </c>
      <c r="AD54" s="26">
        <f>IF(AQ54="7",BH54,0)</f>
        <v>0</v>
      </c>
      <c r="AE54" s="26">
        <f>IF(AQ54="7",BI54,0)</f>
        <v>0</v>
      </c>
      <c r="AF54" s="26">
        <f>IF(AQ54="2",BH54,0)</f>
        <v>0</v>
      </c>
      <c r="AG54" s="26">
        <f>IF(AQ54="2",BI54,0)</f>
        <v>0</v>
      </c>
      <c r="AH54" s="26">
        <f>IF(AQ54="0",BJ54,0)</f>
        <v>0</v>
      </c>
      <c r="AI54" s="18" t="s">
        <v>47</v>
      </c>
      <c r="AJ54" s="26">
        <f>IF(AN54=0,J54,0)</f>
        <v>0</v>
      </c>
      <c r="AK54" s="26">
        <f>IF(AN54=15,J54,0)</f>
        <v>0</v>
      </c>
      <c r="AL54" s="26">
        <f>IF(AN54=21,J54,0)</f>
        <v>0</v>
      </c>
      <c r="AN54" s="26">
        <v>21</v>
      </c>
      <c r="AO54" s="26">
        <f>G54*0.105830924346048</f>
        <v>0</v>
      </c>
      <c r="AP54" s="26">
        <f>G54*(1-0.105830924346048)</f>
        <v>0</v>
      </c>
      <c r="AQ54" s="27" t="s">
        <v>51</v>
      </c>
      <c r="AV54" s="26">
        <f>AW54+AX54</f>
        <v>0</v>
      </c>
      <c r="AW54" s="26">
        <f>F54*AO54</f>
        <v>0</v>
      </c>
      <c r="AX54" s="26">
        <f>F54*AP54</f>
        <v>0</v>
      </c>
      <c r="AY54" s="27" t="s">
        <v>164</v>
      </c>
      <c r="AZ54" s="27" t="s">
        <v>165</v>
      </c>
      <c r="BA54" s="18" t="s">
        <v>58</v>
      </c>
      <c r="BC54" s="26">
        <f>AW54+AX54</f>
        <v>0</v>
      </c>
      <c r="BD54" s="26">
        <f>G54/(100-BE54)*100</f>
        <v>0</v>
      </c>
      <c r="BE54" s="26">
        <v>0</v>
      </c>
      <c r="BF54" s="26">
        <f>L54</f>
        <v>0.19064</v>
      </c>
      <c r="BH54" s="26">
        <f>F54*AO54</f>
        <v>0</v>
      </c>
      <c r="BI54" s="26">
        <f>F54*AP54</f>
        <v>0</v>
      </c>
      <c r="BJ54" s="26">
        <f>F54*G54</f>
        <v>0</v>
      </c>
    </row>
    <row r="55" spans="1:47" ht="12.75">
      <c r="A55" s="23"/>
      <c r="B55" s="24" t="s">
        <v>47</v>
      </c>
      <c r="C55" s="24" t="s">
        <v>169</v>
      </c>
      <c r="D55" s="24" t="s">
        <v>170</v>
      </c>
      <c r="E55" s="23" t="s">
        <v>4</v>
      </c>
      <c r="F55" s="23" t="s">
        <v>4</v>
      </c>
      <c r="G55" s="23"/>
      <c r="H55" s="25">
        <f>SUM(H56:H56)</f>
        <v>0</v>
      </c>
      <c r="I55" s="25">
        <f>SUM(I56:I56)</f>
        <v>0</v>
      </c>
      <c r="J55" s="25">
        <f>SUM(J56:J56)</f>
        <v>0</v>
      </c>
      <c r="K55" s="18"/>
      <c r="L55" s="25">
        <f>SUM(L56:L56)</f>
        <v>0.017854019999999998</v>
      </c>
      <c r="M55" s="18"/>
      <c r="AI55" s="18" t="s">
        <v>47</v>
      </c>
      <c r="AS55" s="25">
        <f>SUM(AJ56:AJ56)</f>
        <v>0</v>
      </c>
      <c r="AT55" s="25">
        <f>SUM(AK56:AK56)</f>
        <v>0</v>
      </c>
      <c r="AU55" s="25">
        <f>SUM(AL56:AL56)</f>
        <v>0</v>
      </c>
    </row>
    <row r="56" spans="1:62" ht="12.75">
      <c r="A56" s="3" t="s">
        <v>86</v>
      </c>
      <c r="B56" s="3" t="s">
        <v>47</v>
      </c>
      <c r="C56" s="3" t="s">
        <v>171</v>
      </c>
      <c r="D56" s="3" t="s">
        <v>172</v>
      </c>
      <c r="E56" s="3" t="s">
        <v>84</v>
      </c>
      <c r="F56" s="26">
        <v>2.889</v>
      </c>
      <c r="G56" s="26"/>
      <c r="H56" s="26">
        <f>F56*AO56</f>
        <v>0</v>
      </c>
      <c r="I56" s="26">
        <f>F56*AP56</f>
        <v>0</v>
      </c>
      <c r="J56" s="26">
        <f>F56*G56</f>
        <v>0</v>
      </c>
      <c r="K56" s="26">
        <v>0.00618</v>
      </c>
      <c r="L56" s="26">
        <f>F56*K56</f>
        <v>0.017854019999999998</v>
      </c>
      <c r="M56" s="27" t="s">
        <v>55</v>
      </c>
      <c r="Z56" s="26">
        <f>IF(AQ56="5",BJ56,0)</f>
        <v>0</v>
      </c>
      <c r="AB56" s="26">
        <f>IF(AQ56="1",BH56,0)</f>
        <v>0</v>
      </c>
      <c r="AC56" s="26">
        <f>IF(AQ56="1",BI56,0)</f>
        <v>0</v>
      </c>
      <c r="AD56" s="26">
        <f>IF(AQ56="7",BH56,0)</f>
        <v>0</v>
      </c>
      <c r="AE56" s="26">
        <f>IF(AQ56="7",BI56,0)</f>
        <v>0</v>
      </c>
      <c r="AF56" s="26">
        <f>IF(AQ56="2",BH56,0)</f>
        <v>0</v>
      </c>
      <c r="AG56" s="26">
        <f>IF(AQ56="2",BI56,0)</f>
        <v>0</v>
      </c>
      <c r="AH56" s="26">
        <f>IF(AQ56="0",BJ56,0)</f>
        <v>0</v>
      </c>
      <c r="AI56" s="18" t="s">
        <v>47</v>
      </c>
      <c r="AJ56" s="26">
        <f>IF(AN56=0,J56,0)</f>
        <v>0</v>
      </c>
      <c r="AK56" s="26">
        <f>IF(AN56=15,J56,0)</f>
        <v>0</v>
      </c>
      <c r="AL56" s="26">
        <f>IF(AN56=21,J56,0)</f>
        <v>0</v>
      </c>
      <c r="AN56" s="26">
        <v>21</v>
      </c>
      <c r="AO56" s="26">
        <f>G56*0.646729053749436</f>
        <v>0</v>
      </c>
      <c r="AP56" s="26">
        <f>G56*(1-0.646729053749436)</f>
        <v>0</v>
      </c>
      <c r="AQ56" s="27" t="s">
        <v>51</v>
      </c>
      <c r="AV56" s="26">
        <f>AW56+AX56</f>
        <v>0</v>
      </c>
      <c r="AW56" s="26">
        <f>F56*AO56</f>
        <v>0</v>
      </c>
      <c r="AX56" s="26">
        <f>F56*AP56</f>
        <v>0</v>
      </c>
      <c r="AY56" s="27" t="s">
        <v>173</v>
      </c>
      <c r="AZ56" s="27" t="s">
        <v>165</v>
      </c>
      <c r="BA56" s="18" t="s">
        <v>58</v>
      </c>
      <c r="BC56" s="26">
        <f>AW56+AX56</f>
        <v>0</v>
      </c>
      <c r="BD56" s="26">
        <f>G56/(100-BE56)*100</f>
        <v>0</v>
      </c>
      <c r="BE56" s="26">
        <v>0</v>
      </c>
      <c r="BF56" s="26">
        <f>L56</f>
        <v>0.017854019999999998</v>
      </c>
      <c r="BH56" s="26">
        <f>F56*AO56</f>
        <v>0</v>
      </c>
      <c r="BI56" s="26">
        <f>F56*AP56</f>
        <v>0</v>
      </c>
      <c r="BJ56" s="26">
        <f>F56*G56</f>
        <v>0</v>
      </c>
    </row>
    <row r="57" spans="1:47" ht="12.75">
      <c r="A57" s="23"/>
      <c r="B57" s="24" t="s">
        <v>47</v>
      </c>
      <c r="C57" s="24" t="s">
        <v>174</v>
      </c>
      <c r="D57" s="24" t="s">
        <v>175</v>
      </c>
      <c r="E57" s="23" t="s">
        <v>4</v>
      </c>
      <c r="F57" s="23" t="s">
        <v>4</v>
      </c>
      <c r="G57" s="23"/>
      <c r="H57" s="25">
        <f>SUM(H58:H66)</f>
        <v>0</v>
      </c>
      <c r="I57" s="25">
        <f>SUM(I58:I66)</f>
        <v>0</v>
      </c>
      <c r="J57" s="25">
        <f>SUM(J58:J66)</f>
        <v>0</v>
      </c>
      <c r="K57" s="18"/>
      <c r="L57" s="25">
        <f>SUM(L58:L66)</f>
        <v>0.08337586400000001</v>
      </c>
      <c r="M57" s="18"/>
      <c r="AI57" s="18" t="s">
        <v>47</v>
      </c>
      <c r="AS57" s="25">
        <f>SUM(AJ58:AJ66)</f>
        <v>0</v>
      </c>
      <c r="AT57" s="25">
        <f>SUM(AK58:AK66)</f>
        <v>0</v>
      </c>
      <c r="AU57" s="25">
        <f>SUM(AL58:AL66)</f>
        <v>0</v>
      </c>
    </row>
    <row r="58" spans="1:62" ht="12.75">
      <c r="A58" s="3" t="s">
        <v>176</v>
      </c>
      <c r="B58" s="3" t="s">
        <v>47</v>
      </c>
      <c r="C58" s="3" t="s">
        <v>177</v>
      </c>
      <c r="D58" s="3" t="s">
        <v>178</v>
      </c>
      <c r="E58" s="3" t="s">
        <v>84</v>
      </c>
      <c r="F58" s="26">
        <v>4.6008</v>
      </c>
      <c r="G58" s="26"/>
      <c r="H58" s="26">
        <f>F58*AO58</f>
        <v>0</v>
      </c>
      <c r="I58" s="26">
        <f>F58*AP58</f>
        <v>0</v>
      </c>
      <c r="J58" s="26">
        <f>F58*G58</f>
        <v>0</v>
      </c>
      <c r="K58" s="26">
        <v>0.00033</v>
      </c>
      <c r="L58" s="26">
        <f>F58*K58</f>
        <v>0.0015182639999999999</v>
      </c>
      <c r="M58" s="27" t="s">
        <v>55</v>
      </c>
      <c r="Z58" s="26">
        <f>IF(AQ58="5",BJ58,0)</f>
        <v>0</v>
      </c>
      <c r="AB58" s="26">
        <f>IF(AQ58="1",BH58,0)</f>
        <v>0</v>
      </c>
      <c r="AC58" s="26">
        <f>IF(AQ58="1",BI58,0)</f>
        <v>0</v>
      </c>
      <c r="AD58" s="26">
        <f>IF(AQ58="7",BH58,0)</f>
        <v>0</v>
      </c>
      <c r="AE58" s="26">
        <f>IF(AQ58="7",BI58,0)</f>
        <v>0</v>
      </c>
      <c r="AF58" s="26">
        <f>IF(AQ58="2",BH58,0)</f>
        <v>0</v>
      </c>
      <c r="AG58" s="26">
        <f>IF(AQ58="2",BI58,0)</f>
        <v>0</v>
      </c>
      <c r="AH58" s="26">
        <f>IF(AQ58="0",BJ58,0)</f>
        <v>0</v>
      </c>
      <c r="AI58" s="18" t="s">
        <v>47</v>
      </c>
      <c r="AJ58" s="26">
        <f>IF(AN58=0,J58,0)</f>
        <v>0</v>
      </c>
      <c r="AK58" s="26">
        <f>IF(AN58=15,J58,0)</f>
        <v>0</v>
      </c>
      <c r="AL58" s="26">
        <f>IF(AN58=21,J58,0)</f>
        <v>0</v>
      </c>
      <c r="AN58" s="26">
        <v>21</v>
      </c>
      <c r="AO58" s="26">
        <f>G58*0.561546687898089</f>
        <v>0</v>
      </c>
      <c r="AP58" s="26">
        <f>G58*(1-0.561546687898089)</f>
        <v>0</v>
      </c>
      <c r="AQ58" s="27" t="s">
        <v>81</v>
      </c>
      <c r="AV58" s="26">
        <f>AW58+AX58</f>
        <v>0</v>
      </c>
      <c r="AW58" s="26">
        <f>F58*AO58</f>
        <v>0</v>
      </c>
      <c r="AX58" s="26">
        <f>F58*AP58</f>
        <v>0</v>
      </c>
      <c r="AY58" s="27" t="s">
        <v>179</v>
      </c>
      <c r="AZ58" s="27" t="s">
        <v>180</v>
      </c>
      <c r="BA58" s="18" t="s">
        <v>58</v>
      </c>
      <c r="BC58" s="26">
        <f>AW58+AX58</f>
        <v>0</v>
      </c>
      <c r="BD58" s="26">
        <f>G58/(100-BE58)*100</f>
        <v>0</v>
      </c>
      <c r="BE58" s="26">
        <v>0</v>
      </c>
      <c r="BF58" s="26">
        <f>L58</f>
        <v>0.0015182639999999999</v>
      </c>
      <c r="BH58" s="26">
        <f>F58*AO58</f>
        <v>0</v>
      </c>
      <c r="BI58" s="26">
        <f>F58*AP58</f>
        <v>0</v>
      </c>
      <c r="BJ58" s="26">
        <f>F58*G58</f>
        <v>0</v>
      </c>
    </row>
    <row r="59" ht="12.75">
      <c r="D59" s="2" t="s">
        <v>181</v>
      </c>
    </row>
    <row r="60" spans="1:62" ht="12.75">
      <c r="A60" s="3" t="s">
        <v>182</v>
      </c>
      <c r="B60" s="3" t="s">
        <v>47</v>
      </c>
      <c r="C60" s="3" t="s">
        <v>183</v>
      </c>
      <c r="D60" s="3" t="s">
        <v>184</v>
      </c>
      <c r="E60" s="3" t="s">
        <v>84</v>
      </c>
      <c r="F60" s="26">
        <v>8.799</v>
      </c>
      <c r="G60" s="26"/>
      <c r="H60" s="26">
        <f>F60*AO60</f>
        <v>0</v>
      </c>
      <c r="I60" s="26">
        <f>F60*AP60</f>
        <v>0</v>
      </c>
      <c r="J60" s="26">
        <f>F60*G60</f>
        <v>0</v>
      </c>
      <c r="K60" s="26">
        <v>0.0004</v>
      </c>
      <c r="L60" s="26">
        <f>F60*K60</f>
        <v>0.0035196</v>
      </c>
      <c r="M60" s="27" t="s">
        <v>55</v>
      </c>
      <c r="Z60" s="26">
        <f>IF(AQ60="5",BJ60,0)</f>
        <v>0</v>
      </c>
      <c r="AB60" s="26">
        <f>IF(AQ60="1",BH60,0)</f>
        <v>0</v>
      </c>
      <c r="AC60" s="26">
        <f>IF(AQ60="1",BI60,0)</f>
        <v>0</v>
      </c>
      <c r="AD60" s="26">
        <f>IF(AQ60="7",BH60,0)</f>
        <v>0</v>
      </c>
      <c r="AE60" s="26">
        <f>IF(AQ60="7",BI60,0)</f>
        <v>0</v>
      </c>
      <c r="AF60" s="26">
        <f>IF(AQ60="2",BH60,0)</f>
        <v>0</v>
      </c>
      <c r="AG60" s="26">
        <f>IF(AQ60="2",BI60,0)</f>
        <v>0</v>
      </c>
      <c r="AH60" s="26">
        <f>IF(AQ60="0",BJ60,0)</f>
        <v>0</v>
      </c>
      <c r="AI60" s="18" t="s">
        <v>47</v>
      </c>
      <c r="AJ60" s="26">
        <f>IF(AN60=0,J60,0)</f>
        <v>0</v>
      </c>
      <c r="AK60" s="26">
        <f>IF(AN60=15,J60,0)</f>
        <v>0</v>
      </c>
      <c r="AL60" s="26">
        <f>IF(AN60=21,J60,0)</f>
        <v>0</v>
      </c>
      <c r="AN60" s="26">
        <v>21</v>
      </c>
      <c r="AO60" s="26">
        <f>G60*0.375786595881378</f>
        <v>0</v>
      </c>
      <c r="AP60" s="26">
        <f>G60*(1-0.375786595881378)</f>
        <v>0</v>
      </c>
      <c r="AQ60" s="27" t="s">
        <v>81</v>
      </c>
      <c r="AV60" s="26">
        <f>AW60+AX60</f>
        <v>0</v>
      </c>
      <c r="AW60" s="26">
        <f>F60*AO60</f>
        <v>0</v>
      </c>
      <c r="AX60" s="26">
        <f>F60*AP60</f>
        <v>0</v>
      </c>
      <c r="AY60" s="27" t="s">
        <v>179</v>
      </c>
      <c r="AZ60" s="27" t="s">
        <v>180</v>
      </c>
      <c r="BA60" s="18" t="s">
        <v>58</v>
      </c>
      <c r="BC60" s="26">
        <f>AW60+AX60</f>
        <v>0</v>
      </c>
      <c r="BD60" s="26">
        <f>G60/(100-BE60)*100</f>
        <v>0</v>
      </c>
      <c r="BE60" s="26">
        <v>0</v>
      </c>
      <c r="BF60" s="26">
        <f>L60</f>
        <v>0.0035196</v>
      </c>
      <c r="BH60" s="26">
        <f>F60*AO60</f>
        <v>0</v>
      </c>
      <c r="BI60" s="26">
        <f>F60*AP60</f>
        <v>0</v>
      </c>
      <c r="BJ60" s="26">
        <f>F60*G60</f>
        <v>0</v>
      </c>
    </row>
    <row r="61" ht="12.75">
      <c r="D61" s="2" t="s">
        <v>185</v>
      </c>
    </row>
    <row r="62" spans="1:62" ht="12.75">
      <c r="A62" s="3" t="s">
        <v>186</v>
      </c>
      <c r="B62" s="3" t="s">
        <v>47</v>
      </c>
      <c r="C62" s="3" t="s">
        <v>187</v>
      </c>
      <c r="D62" s="3" t="s">
        <v>188</v>
      </c>
      <c r="E62" s="3" t="s">
        <v>84</v>
      </c>
      <c r="F62" s="26">
        <v>4.6</v>
      </c>
      <c r="G62" s="26"/>
      <c r="H62" s="26">
        <f>F62*AO62</f>
        <v>0</v>
      </c>
      <c r="I62" s="26">
        <f>F62*AP62</f>
        <v>0</v>
      </c>
      <c r="J62" s="26">
        <f>F62*G62</f>
        <v>0</v>
      </c>
      <c r="K62" s="26">
        <v>0.00559</v>
      </c>
      <c r="L62" s="26">
        <f>F62*K62</f>
        <v>0.025714</v>
      </c>
      <c r="M62" s="27" t="s">
        <v>55</v>
      </c>
      <c r="Z62" s="26">
        <f>IF(AQ62="5",BJ62,0)</f>
        <v>0</v>
      </c>
      <c r="AB62" s="26">
        <f>IF(AQ62="1",BH62,0)</f>
        <v>0</v>
      </c>
      <c r="AC62" s="26">
        <f>IF(AQ62="1",BI62,0)</f>
        <v>0</v>
      </c>
      <c r="AD62" s="26">
        <f>IF(AQ62="7",BH62,0)</f>
        <v>0</v>
      </c>
      <c r="AE62" s="26">
        <f>IF(AQ62="7",BI62,0)</f>
        <v>0</v>
      </c>
      <c r="AF62" s="26">
        <f>IF(AQ62="2",BH62,0)</f>
        <v>0</v>
      </c>
      <c r="AG62" s="26">
        <f>IF(AQ62="2",BI62,0)</f>
        <v>0</v>
      </c>
      <c r="AH62" s="26">
        <f>IF(AQ62="0",BJ62,0)</f>
        <v>0</v>
      </c>
      <c r="AI62" s="18" t="s">
        <v>47</v>
      </c>
      <c r="AJ62" s="26">
        <f>IF(AN62=0,J62,0)</f>
        <v>0</v>
      </c>
      <c r="AK62" s="26">
        <f>IF(AN62=15,J62,0)</f>
        <v>0</v>
      </c>
      <c r="AL62" s="26">
        <f>IF(AN62=21,J62,0)</f>
        <v>0</v>
      </c>
      <c r="AN62" s="26">
        <v>21</v>
      </c>
      <c r="AO62" s="26">
        <f>G62*0.567888434990844</f>
        <v>0</v>
      </c>
      <c r="AP62" s="26">
        <f>G62*(1-0.567888434990844)</f>
        <v>0</v>
      </c>
      <c r="AQ62" s="27" t="s">
        <v>81</v>
      </c>
      <c r="AV62" s="26">
        <f>AW62+AX62</f>
        <v>0</v>
      </c>
      <c r="AW62" s="26">
        <f>F62*AO62</f>
        <v>0</v>
      </c>
      <c r="AX62" s="26">
        <f>F62*AP62</f>
        <v>0</v>
      </c>
      <c r="AY62" s="27" t="s">
        <v>179</v>
      </c>
      <c r="AZ62" s="27" t="s">
        <v>180</v>
      </c>
      <c r="BA62" s="18" t="s">
        <v>58</v>
      </c>
      <c r="BC62" s="26">
        <f>AW62+AX62</f>
        <v>0</v>
      </c>
      <c r="BD62" s="26">
        <f>G62/(100-BE62)*100</f>
        <v>0</v>
      </c>
      <c r="BE62" s="26">
        <v>0</v>
      </c>
      <c r="BF62" s="26">
        <f>L62</f>
        <v>0.025714</v>
      </c>
      <c r="BH62" s="26">
        <f>F62*AO62</f>
        <v>0</v>
      </c>
      <c r="BI62" s="26">
        <f>F62*AP62</f>
        <v>0</v>
      </c>
      <c r="BJ62" s="26">
        <f>F62*G62</f>
        <v>0</v>
      </c>
    </row>
    <row r="63" ht="12.75">
      <c r="D63" s="2" t="s">
        <v>189</v>
      </c>
    </row>
    <row r="64" spans="1:62" ht="12.75">
      <c r="A64" s="3" t="s">
        <v>112</v>
      </c>
      <c r="B64" s="3" t="s">
        <v>47</v>
      </c>
      <c r="C64" s="3" t="s">
        <v>190</v>
      </c>
      <c r="D64" s="3" t="s">
        <v>191</v>
      </c>
      <c r="E64" s="3" t="s">
        <v>84</v>
      </c>
      <c r="F64" s="26">
        <v>8.8</v>
      </c>
      <c r="G64" s="26"/>
      <c r="H64" s="26">
        <f>F64*AO64</f>
        <v>0</v>
      </c>
      <c r="I64" s="26">
        <f>F64*AP64</f>
        <v>0</v>
      </c>
      <c r="J64" s="26">
        <f>F64*G64</f>
        <v>0</v>
      </c>
      <c r="K64" s="26">
        <v>0.00598</v>
      </c>
      <c r="L64" s="26">
        <f>F64*K64</f>
        <v>0.052624000000000004</v>
      </c>
      <c r="M64" s="27" t="s">
        <v>55</v>
      </c>
      <c r="Z64" s="26">
        <f>IF(AQ64="5",BJ64,0)</f>
        <v>0</v>
      </c>
      <c r="AB64" s="26">
        <f>IF(AQ64="1",BH64,0)</f>
        <v>0</v>
      </c>
      <c r="AC64" s="26">
        <f>IF(AQ64="1",BI64,0)</f>
        <v>0</v>
      </c>
      <c r="AD64" s="26">
        <f>IF(AQ64="7",BH64,0)</f>
        <v>0</v>
      </c>
      <c r="AE64" s="26">
        <f>IF(AQ64="7",BI64,0)</f>
        <v>0</v>
      </c>
      <c r="AF64" s="26">
        <f>IF(AQ64="2",BH64,0)</f>
        <v>0</v>
      </c>
      <c r="AG64" s="26">
        <f>IF(AQ64="2",BI64,0)</f>
        <v>0</v>
      </c>
      <c r="AH64" s="26">
        <f>IF(AQ64="0",BJ64,0)</f>
        <v>0</v>
      </c>
      <c r="AI64" s="18" t="s">
        <v>47</v>
      </c>
      <c r="AJ64" s="26">
        <f>IF(AN64=0,J64,0)</f>
        <v>0</v>
      </c>
      <c r="AK64" s="26">
        <f>IF(AN64=15,J64,0)</f>
        <v>0</v>
      </c>
      <c r="AL64" s="26">
        <f>IF(AN64=21,J64,0)</f>
        <v>0</v>
      </c>
      <c r="AN64" s="26">
        <v>21</v>
      </c>
      <c r="AO64" s="26">
        <f>G64*0.550119400472285</f>
        <v>0</v>
      </c>
      <c r="AP64" s="26">
        <f>G64*(1-0.550119400472285)</f>
        <v>0</v>
      </c>
      <c r="AQ64" s="27" t="s">
        <v>81</v>
      </c>
      <c r="AV64" s="26">
        <f>AW64+AX64</f>
        <v>0</v>
      </c>
      <c r="AW64" s="26">
        <f>F64*AO64</f>
        <v>0</v>
      </c>
      <c r="AX64" s="26">
        <f>F64*AP64</f>
        <v>0</v>
      </c>
      <c r="AY64" s="27" t="s">
        <v>179</v>
      </c>
      <c r="AZ64" s="27" t="s">
        <v>180</v>
      </c>
      <c r="BA64" s="18" t="s">
        <v>58</v>
      </c>
      <c r="BC64" s="26">
        <f>AW64+AX64</f>
        <v>0</v>
      </c>
      <c r="BD64" s="26">
        <f>G64/(100-BE64)*100</f>
        <v>0</v>
      </c>
      <c r="BE64" s="26">
        <v>0</v>
      </c>
      <c r="BF64" s="26">
        <f>L64</f>
        <v>0.052624000000000004</v>
      </c>
      <c r="BH64" s="26">
        <f>F64*AO64</f>
        <v>0</v>
      </c>
      <c r="BI64" s="26">
        <f>F64*AP64</f>
        <v>0</v>
      </c>
      <c r="BJ64" s="26">
        <f>F64*G64</f>
        <v>0</v>
      </c>
    </row>
    <row r="65" ht="12.75">
      <c r="D65" s="2" t="s">
        <v>189</v>
      </c>
    </row>
    <row r="66" spans="1:62" ht="12.75">
      <c r="A66" s="3" t="s">
        <v>192</v>
      </c>
      <c r="B66" s="3" t="s">
        <v>47</v>
      </c>
      <c r="C66" s="3" t="s">
        <v>193</v>
      </c>
      <c r="D66" s="3" t="s">
        <v>194</v>
      </c>
      <c r="E66" s="3" t="s">
        <v>111</v>
      </c>
      <c r="F66" s="26">
        <v>0.08</v>
      </c>
      <c r="G66" s="26"/>
      <c r="H66" s="26">
        <f>F66*AO66</f>
        <v>0</v>
      </c>
      <c r="I66" s="26">
        <f>F66*AP66</f>
        <v>0</v>
      </c>
      <c r="J66" s="26">
        <f>F66*G66</f>
        <v>0</v>
      </c>
      <c r="K66" s="26">
        <v>0</v>
      </c>
      <c r="L66" s="26">
        <f>F66*K66</f>
        <v>0</v>
      </c>
      <c r="M66" s="27" t="s">
        <v>55</v>
      </c>
      <c r="Z66" s="26">
        <f>IF(AQ66="5",BJ66,0)</f>
        <v>0</v>
      </c>
      <c r="AB66" s="26">
        <f>IF(AQ66="1",BH66,0)</f>
        <v>0</v>
      </c>
      <c r="AC66" s="26">
        <f>IF(AQ66="1",BI66,0)</f>
        <v>0</v>
      </c>
      <c r="AD66" s="26">
        <f>IF(AQ66="7",BH66,0)</f>
        <v>0</v>
      </c>
      <c r="AE66" s="26">
        <f>IF(AQ66="7",BI66,0)</f>
        <v>0</v>
      </c>
      <c r="AF66" s="26">
        <f>IF(AQ66="2",BH66,0)</f>
        <v>0</v>
      </c>
      <c r="AG66" s="26">
        <f>IF(AQ66="2",BI66,0)</f>
        <v>0</v>
      </c>
      <c r="AH66" s="26">
        <f>IF(AQ66="0",BJ66,0)</f>
        <v>0</v>
      </c>
      <c r="AI66" s="18" t="s">
        <v>47</v>
      </c>
      <c r="AJ66" s="26">
        <f>IF(AN66=0,J66,0)</f>
        <v>0</v>
      </c>
      <c r="AK66" s="26">
        <f>IF(AN66=15,J66,0)</f>
        <v>0</v>
      </c>
      <c r="AL66" s="26">
        <f>IF(AN66=21,J66,0)</f>
        <v>0</v>
      </c>
      <c r="AN66" s="26">
        <v>21</v>
      </c>
      <c r="AO66" s="26">
        <f>G66*0</f>
        <v>0</v>
      </c>
      <c r="AP66" s="26">
        <f>G66*(1-0)</f>
        <v>0</v>
      </c>
      <c r="AQ66" s="27" t="s">
        <v>74</v>
      </c>
      <c r="AV66" s="26">
        <f>AW66+AX66</f>
        <v>0</v>
      </c>
      <c r="AW66" s="26">
        <f>F66*AO66</f>
        <v>0</v>
      </c>
      <c r="AX66" s="26">
        <f>F66*AP66</f>
        <v>0</v>
      </c>
      <c r="AY66" s="27" t="s">
        <v>179</v>
      </c>
      <c r="AZ66" s="27" t="s">
        <v>180</v>
      </c>
      <c r="BA66" s="18" t="s">
        <v>58</v>
      </c>
      <c r="BC66" s="26">
        <f>AW66+AX66</f>
        <v>0</v>
      </c>
      <c r="BD66" s="26">
        <f>G66/(100-BE66)*100</f>
        <v>0</v>
      </c>
      <c r="BE66" s="26">
        <v>0</v>
      </c>
      <c r="BF66" s="26">
        <f>L66</f>
        <v>0</v>
      </c>
      <c r="BH66" s="26">
        <f>F66*AO66</f>
        <v>0</v>
      </c>
      <c r="BI66" s="26">
        <f>F66*AP66</f>
        <v>0</v>
      </c>
      <c r="BJ66" s="26">
        <f>F66*G66</f>
        <v>0</v>
      </c>
    </row>
    <row r="67" spans="1:47" ht="12.75">
      <c r="A67" s="23"/>
      <c r="B67" s="24" t="s">
        <v>47</v>
      </c>
      <c r="C67" s="24" t="s">
        <v>195</v>
      </c>
      <c r="D67" s="24" t="s">
        <v>196</v>
      </c>
      <c r="E67" s="23" t="s">
        <v>4</v>
      </c>
      <c r="F67" s="23" t="s">
        <v>4</v>
      </c>
      <c r="G67" s="23"/>
      <c r="H67" s="25">
        <f>SUM(H68:H70)</f>
        <v>0</v>
      </c>
      <c r="I67" s="25">
        <f>SUM(I68:I70)</f>
        <v>0</v>
      </c>
      <c r="J67" s="25">
        <f>SUM(J68:J70)</f>
        <v>0</v>
      </c>
      <c r="K67" s="18"/>
      <c r="L67" s="25">
        <f>SUM(L68:L70)</f>
        <v>0.041207400000000005</v>
      </c>
      <c r="M67" s="18"/>
      <c r="AI67" s="18" t="s">
        <v>47</v>
      </c>
      <c r="AS67" s="25">
        <f>SUM(AJ68:AJ70)</f>
        <v>0</v>
      </c>
      <c r="AT67" s="25">
        <f>SUM(AK68:AK70)</f>
        <v>0</v>
      </c>
      <c r="AU67" s="25">
        <f>SUM(AL68:AL70)</f>
        <v>0</v>
      </c>
    </row>
    <row r="68" spans="1:62" ht="12.75">
      <c r="A68" s="3" t="s">
        <v>197</v>
      </c>
      <c r="B68" s="3" t="s">
        <v>47</v>
      </c>
      <c r="C68" s="3" t="s">
        <v>198</v>
      </c>
      <c r="D68" s="3" t="s">
        <v>199</v>
      </c>
      <c r="E68" s="3" t="s">
        <v>84</v>
      </c>
      <c r="F68" s="26">
        <v>8.799</v>
      </c>
      <c r="G68" s="26"/>
      <c r="H68" s="26">
        <f>F68*AO68</f>
        <v>0</v>
      </c>
      <c r="I68" s="26">
        <f>F68*AP68</f>
        <v>0</v>
      </c>
      <c r="J68" s="26">
        <f>F68*G68</f>
        <v>0</v>
      </c>
      <c r="K68" s="26">
        <v>0.003</v>
      </c>
      <c r="L68" s="26">
        <f>F68*K68</f>
        <v>0.026397</v>
      </c>
      <c r="M68" s="27" t="s">
        <v>55</v>
      </c>
      <c r="Z68" s="26">
        <f>IF(AQ68="5",BJ68,0)</f>
        <v>0</v>
      </c>
      <c r="AB68" s="26">
        <f>IF(AQ68="1",BH68,0)</f>
        <v>0</v>
      </c>
      <c r="AC68" s="26">
        <f>IF(AQ68="1",BI68,0)</f>
        <v>0</v>
      </c>
      <c r="AD68" s="26">
        <f>IF(AQ68="7",BH68,0)</f>
        <v>0</v>
      </c>
      <c r="AE68" s="26">
        <f>IF(AQ68="7",BI68,0)</f>
        <v>0</v>
      </c>
      <c r="AF68" s="26">
        <f>IF(AQ68="2",BH68,0)</f>
        <v>0</v>
      </c>
      <c r="AG68" s="26">
        <f>IF(AQ68="2",BI68,0)</f>
        <v>0</v>
      </c>
      <c r="AH68" s="26">
        <f>IF(AQ68="0",BJ68,0)</f>
        <v>0</v>
      </c>
      <c r="AI68" s="18" t="s">
        <v>47</v>
      </c>
      <c r="AJ68" s="26">
        <f>IF(AN68=0,J68,0)</f>
        <v>0</v>
      </c>
      <c r="AK68" s="26">
        <f>IF(AN68=15,J68,0)</f>
        <v>0</v>
      </c>
      <c r="AL68" s="26">
        <f>IF(AN68=21,J68,0)</f>
        <v>0</v>
      </c>
      <c r="AN68" s="26">
        <v>21</v>
      </c>
      <c r="AO68" s="26">
        <f>G68*0.195506638451824</f>
        <v>0</v>
      </c>
      <c r="AP68" s="26">
        <f>G68*(1-0.195506638451824)</f>
        <v>0</v>
      </c>
      <c r="AQ68" s="27" t="s">
        <v>81</v>
      </c>
      <c r="AV68" s="26">
        <f>AW68+AX68</f>
        <v>0</v>
      </c>
      <c r="AW68" s="26">
        <f>F68*AO68</f>
        <v>0</v>
      </c>
      <c r="AX68" s="26">
        <f>F68*AP68</f>
        <v>0</v>
      </c>
      <c r="AY68" s="27" t="s">
        <v>200</v>
      </c>
      <c r="AZ68" s="27" t="s">
        <v>180</v>
      </c>
      <c r="BA68" s="18" t="s">
        <v>58</v>
      </c>
      <c r="BC68" s="26">
        <f>AW68+AX68</f>
        <v>0</v>
      </c>
      <c r="BD68" s="26">
        <f>G68/(100-BE68)*100</f>
        <v>0</v>
      </c>
      <c r="BE68" s="26">
        <v>0</v>
      </c>
      <c r="BF68" s="26">
        <f>L68</f>
        <v>0.026397</v>
      </c>
      <c r="BH68" s="26">
        <f>F68*AO68</f>
        <v>0</v>
      </c>
      <c r="BI68" s="26">
        <f>F68*AP68</f>
        <v>0</v>
      </c>
      <c r="BJ68" s="26">
        <f>F68*G68</f>
        <v>0</v>
      </c>
    </row>
    <row r="69" spans="1:62" ht="12.75">
      <c r="A69" s="3" t="s">
        <v>138</v>
      </c>
      <c r="B69" s="3" t="s">
        <v>47</v>
      </c>
      <c r="C69" s="3" t="s">
        <v>201</v>
      </c>
      <c r="D69" s="3" t="s">
        <v>202</v>
      </c>
      <c r="E69" s="3" t="s">
        <v>84</v>
      </c>
      <c r="F69" s="26">
        <v>8.976</v>
      </c>
      <c r="G69" s="26"/>
      <c r="H69" s="26">
        <f>F69*AO69</f>
        <v>0</v>
      </c>
      <c r="I69" s="26">
        <f>F69*AP69</f>
        <v>0</v>
      </c>
      <c r="J69" s="26">
        <f>F69*G69</f>
        <v>0</v>
      </c>
      <c r="K69" s="26">
        <v>0.00165</v>
      </c>
      <c r="L69" s="26">
        <f>F69*K69</f>
        <v>0.014810400000000001</v>
      </c>
      <c r="M69" s="27" t="s">
        <v>55</v>
      </c>
      <c r="Z69" s="26">
        <f>IF(AQ69="5",BJ69,0)</f>
        <v>0</v>
      </c>
      <c r="AB69" s="26">
        <f>IF(AQ69="1",BH69,0)</f>
        <v>0</v>
      </c>
      <c r="AC69" s="26">
        <f>IF(AQ69="1",BI69,0)</f>
        <v>0</v>
      </c>
      <c r="AD69" s="26">
        <f>IF(AQ69="7",BH69,0)</f>
        <v>0</v>
      </c>
      <c r="AE69" s="26">
        <f>IF(AQ69="7",BI69,0)</f>
        <v>0</v>
      </c>
      <c r="AF69" s="26">
        <f>IF(AQ69="2",BH69,0)</f>
        <v>0</v>
      </c>
      <c r="AG69" s="26">
        <f>IF(AQ69="2",BI69,0)</f>
        <v>0</v>
      </c>
      <c r="AH69" s="26">
        <f>IF(AQ69="0",BJ69,0)</f>
        <v>0</v>
      </c>
      <c r="AI69" s="18" t="s">
        <v>47</v>
      </c>
      <c r="AJ69" s="26">
        <f>IF(AN69=0,J69,0)</f>
        <v>0</v>
      </c>
      <c r="AK69" s="26">
        <f>IF(AN69=15,J69,0)</f>
        <v>0</v>
      </c>
      <c r="AL69" s="26">
        <f>IF(AN69=21,J69,0)</f>
        <v>0</v>
      </c>
      <c r="AN69" s="26">
        <v>21</v>
      </c>
      <c r="AO69" s="26">
        <f>G69*1</f>
        <v>0</v>
      </c>
      <c r="AP69" s="26">
        <f>G69*(1-1)</f>
        <v>0</v>
      </c>
      <c r="AQ69" s="27" t="s">
        <v>81</v>
      </c>
      <c r="AV69" s="26">
        <f>AW69+AX69</f>
        <v>0</v>
      </c>
      <c r="AW69" s="26">
        <f>F69*AO69</f>
        <v>0</v>
      </c>
      <c r="AX69" s="26">
        <f>F69*AP69</f>
        <v>0</v>
      </c>
      <c r="AY69" s="27" t="s">
        <v>200</v>
      </c>
      <c r="AZ69" s="27" t="s">
        <v>180</v>
      </c>
      <c r="BA69" s="18" t="s">
        <v>58</v>
      </c>
      <c r="BC69" s="26">
        <f>AW69+AX69</f>
        <v>0</v>
      </c>
      <c r="BD69" s="26">
        <f>G69/(100-BE69)*100</f>
        <v>0</v>
      </c>
      <c r="BE69" s="26">
        <v>0</v>
      </c>
      <c r="BF69" s="26">
        <f>L69</f>
        <v>0.014810400000000001</v>
      </c>
      <c r="BH69" s="26">
        <f>F69*AO69</f>
        <v>0</v>
      </c>
      <c r="BI69" s="26">
        <f>F69*AP69</f>
        <v>0</v>
      </c>
      <c r="BJ69" s="26">
        <f>F69*G69</f>
        <v>0</v>
      </c>
    </row>
    <row r="70" spans="1:62" ht="12.75">
      <c r="A70" s="3" t="s">
        <v>203</v>
      </c>
      <c r="B70" s="3" t="s">
        <v>47</v>
      </c>
      <c r="C70" s="3" t="s">
        <v>204</v>
      </c>
      <c r="D70" s="3" t="s">
        <v>205</v>
      </c>
      <c r="E70" s="3" t="s">
        <v>111</v>
      </c>
      <c r="F70" s="26">
        <v>0.041</v>
      </c>
      <c r="G70" s="26"/>
      <c r="H70" s="26">
        <f>F70*AO70</f>
        <v>0</v>
      </c>
      <c r="I70" s="26">
        <f>F70*AP70</f>
        <v>0</v>
      </c>
      <c r="J70" s="26">
        <f>F70*G70</f>
        <v>0</v>
      </c>
      <c r="K70" s="26">
        <v>0</v>
      </c>
      <c r="L70" s="26">
        <f>F70*K70</f>
        <v>0</v>
      </c>
      <c r="M70" s="27" t="s">
        <v>55</v>
      </c>
      <c r="Z70" s="26">
        <f>IF(AQ70="5",BJ70,0)</f>
        <v>0</v>
      </c>
      <c r="AB70" s="26">
        <f>IF(AQ70="1",BH70,0)</f>
        <v>0</v>
      </c>
      <c r="AC70" s="26">
        <f>IF(AQ70="1",BI70,0)</f>
        <v>0</v>
      </c>
      <c r="AD70" s="26">
        <f>IF(AQ70="7",BH70,0)</f>
        <v>0</v>
      </c>
      <c r="AE70" s="26">
        <f>IF(AQ70="7",BI70,0)</f>
        <v>0</v>
      </c>
      <c r="AF70" s="26">
        <f>IF(AQ70="2",BH70,0)</f>
        <v>0</v>
      </c>
      <c r="AG70" s="26">
        <f>IF(AQ70="2",BI70,0)</f>
        <v>0</v>
      </c>
      <c r="AH70" s="26">
        <f>IF(AQ70="0",BJ70,0)</f>
        <v>0</v>
      </c>
      <c r="AI70" s="18" t="s">
        <v>47</v>
      </c>
      <c r="AJ70" s="26">
        <f>IF(AN70=0,J70,0)</f>
        <v>0</v>
      </c>
      <c r="AK70" s="26">
        <f>IF(AN70=15,J70,0)</f>
        <v>0</v>
      </c>
      <c r="AL70" s="26">
        <f>IF(AN70=21,J70,0)</f>
        <v>0</v>
      </c>
      <c r="AN70" s="26">
        <v>21</v>
      </c>
      <c r="AO70" s="26">
        <f>G70*0</f>
        <v>0</v>
      </c>
      <c r="AP70" s="26">
        <f>G70*(1-0)</f>
        <v>0</v>
      </c>
      <c r="AQ70" s="27" t="s">
        <v>74</v>
      </c>
      <c r="AV70" s="26">
        <f>AW70+AX70</f>
        <v>0</v>
      </c>
      <c r="AW70" s="26">
        <f>F70*AO70</f>
        <v>0</v>
      </c>
      <c r="AX70" s="26">
        <f>F70*AP70</f>
        <v>0</v>
      </c>
      <c r="AY70" s="27" t="s">
        <v>200</v>
      </c>
      <c r="AZ70" s="27" t="s">
        <v>180</v>
      </c>
      <c r="BA70" s="18" t="s">
        <v>58</v>
      </c>
      <c r="BC70" s="26">
        <f>AW70+AX70</f>
        <v>0</v>
      </c>
      <c r="BD70" s="26">
        <f>G70/(100-BE70)*100</f>
        <v>0</v>
      </c>
      <c r="BE70" s="26">
        <v>0</v>
      </c>
      <c r="BF70" s="26">
        <f>L70</f>
        <v>0</v>
      </c>
      <c r="BH70" s="26">
        <f>F70*AO70</f>
        <v>0</v>
      </c>
      <c r="BI70" s="26">
        <f>F70*AP70</f>
        <v>0</v>
      </c>
      <c r="BJ70" s="26">
        <f>F70*G70</f>
        <v>0</v>
      </c>
    </row>
    <row r="71" spans="1:47" ht="12.75">
      <c r="A71" s="23"/>
      <c r="B71" s="24" t="s">
        <v>47</v>
      </c>
      <c r="C71" s="24" t="s">
        <v>206</v>
      </c>
      <c r="D71" s="24" t="s">
        <v>207</v>
      </c>
      <c r="E71" s="23" t="s">
        <v>4</v>
      </c>
      <c r="F71" s="23" t="s">
        <v>4</v>
      </c>
      <c r="G71" s="23"/>
      <c r="H71" s="25">
        <f>SUM(H72:H73)</f>
        <v>0</v>
      </c>
      <c r="I71" s="25">
        <f>SUM(I72:I73)</f>
        <v>0</v>
      </c>
      <c r="J71" s="25">
        <f>SUM(J72:J73)</f>
        <v>0</v>
      </c>
      <c r="K71" s="18"/>
      <c r="L71" s="25">
        <f>SUM(L72:L73)</f>
        <v>0.0188</v>
      </c>
      <c r="M71" s="18"/>
      <c r="AI71" s="18" t="s">
        <v>47</v>
      </c>
      <c r="AS71" s="25">
        <f>SUM(AJ72:AJ73)</f>
        <v>0</v>
      </c>
      <c r="AT71" s="25">
        <f>SUM(AK72:AK73)</f>
        <v>0</v>
      </c>
      <c r="AU71" s="25">
        <f>SUM(AL72:AL73)</f>
        <v>0</v>
      </c>
    </row>
    <row r="72" spans="1:62" ht="12.75">
      <c r="A72" s="3" t="s">
        <v>208</v>
      </c>
      <c r="B72" s="3" t="s">
        <v>47</v>
      </c>
      <c r="C72" s="3" t="s">
        <v>209</v>
      </c>
      <c r="D72" s="3" t="s">
        <v>210</v>
      </c>
      <c r="E72" s="3" t="s">
        <v>211</v>
      </c>
      <c r="F72" s="26">
        <v>1</v>
      </c>
      <c r="G72" s="26"/>
      <c r="H72" s="26">
        <f>F72*AO72</f>
        <v>0</v>
      </c>
      <c r="I72" s="26">
        <f>F72*AP72</f>
        <v>0</v>
      </c>
      <c r="J72" s="26">
        <f>F72*G72</f>
        <v>0</v>
      </c>
      <c r="K72" s="26">
        <v>0.0188</v>
      </c>
      <c r="L72" s="26">
        <f>F72*K72</f>
        <v>0.0188</v>
      </c>
      <c r="M72" s="27" t="s">
        <v>55</v>
      </c>
      <c r="Z72" s="26">
        <f>IF(AQ72="5",BJ72,0)</f>
        <v>0</v>
      </c>
      <c r="AB72" s="26">
        <f>IF(AQ72="1",BH72,0)</f>
        <v>0</v>
      </c>
      <c r="AC72" s="26">
        <f>IF(AQ72="1",BI72,0)</f>
        <v>0</v>
      </c>
      <c r="AD72" s="26">
        <f>IF(AQ72="7",BH72,0)</f>
        <v>0</v>
      </c>
      <c r="AE72" s="26">
        <f>IF(AQ72="7",BI72,0)</f>
        <v>0</v>
      </c>
      <c r="AF72" s="26">
        <f>IF(AQ72="2",BH72,0)</f>
        <v>0</v>
      </c>
      <c r="AG72" s="26">
        <f>IF(AQ72="2",BI72,0)</f>
        <v>0</v>
      </c>
      <c r="AH72" s="26">
        <f>IF(AQ72="0",BJ72,0)</f>
        <v>0</v>
      </c>
      <c r="AI72" s="18" t="s">
        <v>47</v>
      </c>
      <c r="AJ72" s="26">
        <f>IF(AN72=0,J72,0)</f>
        <v>0</v>
      </c>
      <c r="AK72" s="26">
        <f>IF(AN72=15,J72,0)</f>
        <v>0</v>
      </c>
      <c r="AL72" s="26">
        <f>IF(AN72=21,J72,0)</f>
        <v>0</v>
      </c>
      <c r="AN72" s="26">
        <v>21</v>
      </c>
      <c r="AO72" s="26">
        <f>G72*0</f>
        <v>0</v>
      </c>
      <c r="AP72" s="26">
        <f>G72*(1-0)</f>
        <v>0</v>
      </c>
      <c r="AQ72" s="27" t="s">
        <v>81</v>
      </c>
      <c r="AV72" s="26">
        <f>AW72+AX72</f>
        <v>0</v>
      </c>
      <c r="AW72" s="26">
        <f>F72*AO72</f>
        <v>0</v>
      </c>
      <c r="AX72" s="26">
        <f>F72*AP72</f>
        <v>0</v>
      </c>
      <c r="AY72" s="27" t="s">
        <v>212</v>
      </c>
      <c r="AZ72" s="27" t="s">
        <v>213</v>
      </c>
      <c r="BA72" s="18" t="s">
        <v>58</v>
      </c>
      <c r="BC72" s="26">
        <f>AW72+AX72</f>
        <v>0</v>
      </c>
      <c r="BD72" s="26">
        <f>G72/(100-BE72)*100</f>
        <v>0</v>
      </c>
      <c r="BE72" s="26">
        <v>0</v>
      </c>
      <c r="BF72" s="26">
        <f>L72</f>
        <v>0.0188</v>
      </c>
      <c r="BH72" s="26">
        <f>F72*AO72</f>
        <v>0</v>
      </c>
      <c r="BI72" s="26">
        <f>F72*AP72</f>
        <v>0</v>
      </c>
      <c r="BJ72" s="26">
        <f>F72*G72</f>
        <v>0</v>
      </c>
    </row>
    <row r="73" spans="1:62" ht="12.75">
      <c r="A73" s="3" t="s">
        <v>214</v>
      </c>
      <c r="B73" s="3" t="s">
        <v>47</v>
      </c>
      <c r="C73" s="3" t="s">
        <v>215</v>
      </c>
      <c r="D73" s="3" t="s">
        <v>216</v>
      </c>
      <c r="E73" s="3" t="s">
        <v>111</v>
      </c>
      <c r="F73" s="26">
        <v>0.0188</v>
      </c>
      <c r="G73" s="26"/>
      <c r="H73" s="26">
        <f>F73*AO73</f>
        <v>0</v>
      </c>
      <c r="I73" s="26">
        <f>F73*AP73</f>
        <v>0</v>
      </c>
      <c r="J73" s="26">
        <f>F73*G73</f>
        <v>0</v>
      </c>
      <c r="K73" s="26">
        <v>0</v>
      </c>
      <c r="L73" s="26">
        <f>F73*K73</f>
        <v>0</v>
      </c>
      <c r="M73" s="27" t="s">
        <v>55</v>
      </c>
      <c r="Z73" s="26">
        <f>IF(AQ73="5",BJ73,0)</f>
        <v>0</v>
      </c>
      <c r="AB73" s="26">
        <f>IF(AQ73="1",BH73,0)</f>
        <v>0</v>
      </c>
      <c r="AC73" s="26">
        <f>IF(AQ73="1",BI73,0)</f>
        <v>0</v>
      </c>
      <c r="AD73" s="26">
        <f>IF(AQ73="7",BH73,0)</f>
        <v>0</v>
      </c>
      <c r="AE73" s="26">
        <f>IF(AQ73="7",BI73,0)</f>
        <v>0</v>
      </c>
      <c r="AF73" s="26">
        <f>IF(AQ73="2",BH73,0)</f>
        <v>0</v>
      </c>
      <c r="AG73" s="26">
        <f>IF(AQ73="2",BI73,0)</f>
        <v>0</v>
      </c>
      <c r="AH73" s="26">
        <f>IF(AQ73="0",BJ73,0)</f>
        <v>0</v>
      </c>
      <c r="AI73" s="18" t="s">
        <v>47</v>
      </c>
      <c r="AJ73" s="26">
        <f>IF(AN73=0,J73,0)</f>
        <v>0</v>
      </c>
      <c r="AK73" s="26">
        <f>IF(AN73=15,J73,0)</f>
        <v>0</v>
      </c>
      <c r="AL73" s="26">
        <f>IF(AN73=21,J73,0)</f>
        <v>0</v>
      </c>
      <c r="AN73" s="26">
        <v>21</v>
      </c>
      <c r="AO73" s="26">
        <f>G73*0</f>
        <v>0</v>
      </c>
      <c r="AP73" s="26">
        <f>G73*(1-0)</f>
        <v>0</v>
      </c>
      <c r="AQ73" s="27" t="s">
        <v>74</v>
      </c>
      <c r="AV73" s="26">
        <f>AW73+AX73</f>
        <v>0</v>
      </c>
      <c r="AW73" s="26">
        <f>F73*AO73</f>
        <v>0</v>
      </c>
      <c r="AX73" s="26">
        <f>F73*AP73</f>
        <v>0</v>
      </c>
      <c r="AY73" s="27" t="s">
        <v>212</v>
      </c>
      <c r="AZ73" s="27" t="s">
        <v>213</v>
      </c>
      <c r="BA73" s="18" t="s">
        <v>58</v>
      </c>
      <c r="BC73" s="26">
        <f>AW73+AX73</f>
        <v>0</v>
      </c>
      <c r="BD73" s="26">
        <f>G73/(100-BE73)*100</f>
        <v>0</v>
      </c>
      <c r="BE73" s="26">
        <v>0</v>
      </c>
      <c r="BF73" s="26">
        <f>L73</f>
        <v>0</v>
      </c>
      <c r="BH73" s="26">
        <f>F73*AO73</f>
        <v>0</v>
      </c>
      <c r="BI73" s="26">
        <f>F73*AP73</f>
        <v>0</v>
      </c>
      <c r="BJ73" s="26">
        <f>F73*G73</f>
        <v>0</v>
      </c>
    </row>
    <row r="74" spans="1:47" ht="12.75">
      <c r="A74" s="23"/>
      <c r="B74" s="24" t="s">
        <v>47</v>
      </c>
      <c r="C74" s="24" t="s">
        <v>217</v>
      </c>
      <c r="D74" s="24" t="s">
        <v>218</v>
      </c>
      <c r="E74" s="23" t="s">
        <v>4</v>
      </c>
      <c r="F74" s="23" t="s">
        <v>4</v>
      </c>
      <c r="G74" s="23"/>
      <c r="H74" s="25">
        <f>SUM(H75:H80)</f>
        <v>0</v>
      </c>
      <c r="I74" s="25">
        <f>SUM(I75:I80)</f>
        <v>0</v>
      </c>
      <c r="J74" s="25">
        <f>SUM(J75:J80)</f>
        <v>0</v>
      </c>
      <c r="K74" s="18"/>
      <c r="L74" s="25">
        <f>SUM(L75:L80)</f>
        <v>0.06251999999999999</v>
      </c>
      <c r="M74" s="18"/>
      <c r="AI74" s="18" t="s">
        <v>47</v>
      </c>
      <c r="AS74" s="25">
        <f>SUM(AJ75:AJ80)</f>
        <v>0</v>
      </c>
      <c r="AT74" s="25">
        <f>SUM(AK75:AK80)</f>
        <v>0</v>
      </c>
      <c r="AU74" s="25">
        <f>SUM(AL75:AL80)</f>
        <v>0</v>
      </c>
    </row>
    <row r="75" spans="1:62" ht="12.75">
      <c r="A75" s="3" t="s">
        <v>219</v>
      </c>
      <c r="B75" s="3" t="s">
        <v>47</v>
      </c>
      <c r="C75" s="3" t="s">
        <v>220</v>
      </c>
      <c r="D75" s="3" t="s">
        <v>221</v>
      </c>
      <c r="E75" s="3" t="s">
        <v>133</v>
      </c>
      <c r="F75" s="26">
        <v>1</v>
      </c>
      <c r="G75" s="26"/>
      <c r="H75" s="26">
        <f aca="true" t="shared" si="0" ref="H75:H80">F75*AO75</f>
        <v>0</v>
      </c>
      <c r="I75" s="26">
        <f aca="true" t="shared" si="1" ref="I75:I80">F75*AP75</f>
        <v>0</v>
      </c>
      <c r="J75" s="26">
        <f aca="true" t="shared" si="2" ref="J75:J80">F75*G75</f>
        <v>0</v>
      </c>
      <c r="K75" s="26">
        <v>2E-05</v>
      </c>
      <c r="L75" s="26">
        <f aca="true" t="shared" si="3" ref="L75:L80">F75*K75</f>
        <v>2E-05</v>
      </c>
      <c r="M75" s="27" t="s">
        <v>55</v>
      </c>
      <c r="Z75" s="26">
        <f aca="true" t="shared" si="4" ref="Z75:Z80">IF(AQ75="5",BJ75,0)</f>
        <v>0</v>
      </c>
      <c r="AB75" s="26">
        <f aca="true" t="shared" si="5" ref="AB75:AB80">IF(AQ75="1",BH75,0)</f>
        <v>0</v>
      </c>
      <c r="AC75" s="26">
        <f aca="true" t="shared" si="6" ref="AC75:AC80">IF(AQ75="1",BI75,0)</f>
        <v>0</v>
      </c>
      <c r="AD75" s="26">
        <f aca="true" t="shared" si="7" ref="AD75:AD80">IF(AQ75="7",BH75,0)</f>
        <v>0</v>
      </c>
      <c r="AE75" s="26">
        <f aca="true" t="shared" si="8" ref="AE75:AE80">IF(AQ75="7",BI75,0)</f>
        <v>0</v>
      </c>
      <c r="AF75" s="26">
        <f aca="true" t="shared" si="9" ref="AF75:AF80">IF(AQ75="2",BH75,0)</f>
        <v>0</v>
      </c>
      <c r="AG75" s="26">
        <f aca="true" t="shared" si="10" ref="AG75:AG80">IF(AQ75="2",BI75,0)</f>
        <v>0</v>
      </c>
      <c r="AH75" s="26">
        <f aca="true" t="shared" si="11" ref="AH75:AH80">IF(AQ75="0",BJ75,0)</f>
        <v>0</v>
      </c>
      <c r="AI75" s="18" t="s">
        <v>47</v>
      </c>
      <c r="AJ75" s="26">
        <f aca="true" t="shared" si="12" ref="AJ75:AJ80">IF(AN75=0,J75,0)</f>
        <v>0</v>
      </c>
      <c r="AK75" s="26">
        <f aca="true" t="shared" si="13" ref="AK75:AK80">IF(AN75=15,J75,0)</f>
        <v>0</v>
      </c>
      <c r="AL75" s="26">
        <f aca="true" t="shared" si="14" ref="AL75:AL80">IF(AN75=21,J75,0)</f>
        <v>0</v>
      </c>
      <c r="AN75" s="26">
        <v>21</v>
      </c>
      <c r="AO75" s="26">
        <f>G75*0.0363619156777901</f>
        <v>0</v>
      </c>
      <c r="AP75" s="26">
        <f>G75*(1-0.0363619156777901)</f>
        <v>0</v>
      </c>
      <c r="AQ75" s="27" t="s">
        <v>81</v>
      </c>
      <c r="AV75" s="26">
        <f aca="true" t="shared" si="15" ref="AV75:AV80">AW75+AX75</f>
        <v>0</v>
      </c>
      <c r="AW75" s="26">
        <f aca="true" t="shared" si="16" ref="AW75:AW80">F75*AO75</f>
        <v>0</v>
      </c>
      <c r="AX75" s="26">
        <f aca="true" t="shared" si="17" ref="AX75:AX80">F75*AP75</f>
        <v>0</v>
      </c>
      <c r="AY75" s="27" t="s">
        <v>222</v>
      </c>
      <c r="AZ75" s="27" t="s">
        <v>223</v>
      </c>
      <c r="BA75" s="18" t="s">
        <v>58</v>
      </c>
      <c r="BC75" s="26">
        <f aca="true" t="shared" si="18" ref="BC75:BC80">AW75+AX75</f>
        <v>0</v>
      </c>
      <c r="BD75" s="26">
        <f aca="true" t="shared" si="19" ref="BD75:BD80">G75/(100-BE75)*100</f>
        <v>0</v>
      </c>
      <c r="BE75" s="26">
        <v>0</v>
      </c>
      <c r="BF75" s="26">
        <f aca="true" t="shared" si="20" ref="BF75:BF80">L75</f>
        <v>2E-05</v>
      </c>
      <c r="BH75" s="26">
        <f aca="true" t="shared" si="21" ref="BH75:BH80">F75*AO75</f>
        <v>0</v>
      </c>
      <c r="BI75" s="26">
        <f aca="true" t="shared" si="22" ref="BI75:BI80">F75*AP75</f>
        <v>0</v>
      </c>
      <c r="BJ75" s="26">
        <f aca="true" t="shared" si="23" ref="BJ75:BJ80">F75*G75</f>
        <v>0</v>
      </c>
    </row>
    <row r="76" spans="1:62" ht="12.75">
      <c r="A76" s="3" t="s">
        <v>224</v>
      </c>
      <c r="B76" s="3" t="s">
        <v>47</v>
      </c>
      <c r="C76" s="3" t="s">
        <v>225</v>
      </c>
      <c r="D76" s="3" t="s">
        <v>226</v>
      </c>
      <c r="E76" s="3" t="s">
        <v>133</v>
      </c>
      <c r="F76" s="26">
        <v>1</v>
      </c>
      <c r="G76" s="26"/>
      <c r="H76" s="26">
        <f t="shared" si="0"/>
        <v>0</v>
      </c>
      <c r="I76" s="26">
        <f t="shared" si="1"/>
        <v>0</v>
      </c>
      <c r="J76" s="26">
        <f t="shared" si="2"/>
        <v>0</v>
      </c>
      <c r="K76" s="26">
        <v>0</v>
      </c>
      <c r="L76" s="26">
        <f t="shared" si="3"/>
        <v>0</v>
      </c>
      <c r="M76" s="27" t="s">
        <v>55</v>
      </c>
      <c r="Z76" s="26">
        <f t="shared" si="4"/>
        <v>0</v>
      </c>
      <c r="AB76" s="26">
        <f t="shared" si="5"/>
        <v>0</v>
      </c>
      <c r="AC76" s="26">
        <f t="shared" si="6"/>
        <v>0</v>
      </c>
      <c r="AD76" s="26">
        <f t="shared" si="7"/>
        <v>0</v>
      </c>
      <c r="AE76" s="26">
        <f t="shared" si="8"/>
        <v>0</v>
      </c>
      <c r="AF76" s="26">
        <f t="shared" si="9"/>
        <v>0</v>
      </c>
      <c r="AG76" s="26">
        <f t="shared" si="10"/>
        <v>0</v>
      </c>
      <c r="AH76" s="26">
        <f t="shared" si="11"/>
        <v>0</v>
      </c>
      <c r="AI76" s="18" t="s">
        <v>47</v>
      </c>
      <c r="AJ76" s="26">
        <f t="shared" si="12"/>
        <v>0</v>
      </c>
      <c r="AK76" s="26">
        <f t="shared" si="13"/>
        <v>0</v>
      </c>
      <c r="AL76" s="26">
        <f t="shared" si="14"/>
        <v>0</v>
      </c>
      <c r="AN76" s="26">
        <v>21</v>
      </c>
      <c r="AO76" s="26">
        <f>G76*0</f>
        <v>0</v>
      </c>
      <c r="AP76" s="26">
        <f>G76*(1-0)</f>
        <v>0</v>
      </c>
      <c r="AQ76" s="27" t="s">
        <v>81</v>
      </c>
      <c r="AV76" s="26">
        <f t="shared" si="15"/>
        <v>0</v>
      </c>
      <c r="AW76" s="26">
        <f t="shared" si="16"/>
        <v>0</v>
      </c>
      <c r="AX76" s="26">
        <f t="shared" si="17"/>
        <v>0</v>
      </c>
      <c r="AY76" s="27" t="s">
        <v>222</v>
      </c>
      <c r="AZ76" s="27" t="s">
        <v>223</v>
      </c>
      <c r="BA76" s="18" t="s">
        <v>58</v>
      </c>
      <c r="BC76" s="26">
        <f t="shared" si="18"/>
        <v>0</v>
      </c>
      <c r="BD76" s="26">
        <f t="shared" si="19"/>
        <v>0</v>
      </c>
      <c r="BE76" s="26">
        <v>0</v>
      </c>
      <c r="BF76" s="26">
        <f t="shared" si="20"/>
        <v>0</v>
      </c>
      <c r="BH76" s="26">
        <f t="shared" si="21"/>
        <v>0</v>
      </c>
      <c r="BI76" s="26">
        <f t="shared" si="22"/>
        <v>0</v>
      </c>
      <c r="BJ76" s="26">
        <f t="shared" si="23"/>
        <v>0</v>
      </c>
    </row>
    <row r="77" spans="1:62" ht="12.75">
      <c r="A77" s="3" t="s">
        <v>227</v>
      </c>
      <c r="B77" s="3" t="s">
        <v>47</v>
      </c>
      <c r="C77" s="3" t="s">
        <v>228</v>
      </c>
      <c r="D77" s="3" t="s">
        <v>515</v>
      </c>
      <c r="E77" s="3" t="s">
        <v>133</v>
      </c>
      <c r="F77" s="26">
        <v>1</v>
      </c>
      <c r="G77" s="26"/>
      <c r="H77" s="26">
        <f t="shared" si="0"/>
        <v>0</v>
      </c>
      <c r="I77" s="26">
        <f t="shared" si="1"/>
        <v>0</v>
      </c>
      <c r="J77" s="26">
        <f t="shared" si="2"/>
        <v>0</v>
      </c>
      <c r="K77" s="26">
        <v>0.0155</v>
      </c>
      <c r="L77" s="26">
        <f t="shared" si="3"/>
        <v>0.0155</v>
      </c>
      <c r="M77" s="27" t="s">
        <v>55</v>
      </c>
      <c r="Z77" s="26">
        <f t="shared" si="4"/>
        <v>0</v>
      </c>
      <c r="AB77" s="26">
        <f t="shared" si="5"/>
        <v>0</v>
      </c>
      <c r="AC77" s="26">
        <f t="shared" si="6"/>
        <v>0</v>
      </c>
      <c r="AD77" s="26">
        <f t="shared" si="7"/>
        <v>0</v>
      </c>
      <c r="AE77" s="26">
        <f t="shared" si="8"/>
        <v>0</v>
      </c>
      <c r="AF77" s="26">
        <f t="shared" si="9"/>
        <v>0</v>
      </c>
      <c r="AG77" s="26">
        <f t="shared" si="10"/>
        <v>0</v>
      </c>
      <c r="AH77" s="26">
        <f t="shared" si="11"/>
        <v>0</v>
      </c>
      <c r="AI77" s="18" t="s">
        <v>47</v>
      </c>
      <c r="AJ77" s="26">
        <f t="shared" si="12"/>
        <v>0</v>
      </c>
      <c r="AK77" s="26">
        <f t="shared" si="13"/>
        <v>0</v>
      </c>
      <c r="AL77" s="26">
        <f t="shared" si="14"/>
        <v>0</v>
      </c>
      <c r="AN77" s="26">
        <v>21</v>
      </c>
      <c r="AO77" s="26">
        <f>G77*1</f>
        <v>0</v>
      </c>
      <c r="AP77" s="26">
        <f>G77*(1-1)</f>
        <v>0</v>
      </c>
      <c r="AQ77" s="27" t="s">
        <v>81</v>
      </c>
      <c r="AV77" s="26">
        <f t="shared" si="15"/>
        <v>0</v>
      </c>
      <c r="AW77" s="26">
        <f t="shared" si="16"/>
        <v>0</v>
      </c>
      <c r="AX77" s="26">
        <f t="shared" si="17"/>
        <v>0</v>
      </c>
      <c r="AY77" s="27" t="s">
        <v>222</v>
      </c>
      <c r="AZ77" s="27" t="s">
        <v>223</v>
      </c>
      <c r="BA77" s="18" t="s">
        <v>58</v>
      </c>
      <c r="BC77" s="26">
        <f t="shared" si="18"/>
        <v>0</v>
      </c>
      <c r="BD77" s="26">
        <f t="shared" si="19"/>
        <v>0</v>
      </c>
      <c r="BE77" s="26">
        <v>0</v>
      </c>
      <c r="BF77" s="26">
        <f t="shared" si="20"/>
        <v>0.0155</v>
      </c>
      <c r="BH77" s="26">
        <f t="shared" si="21"/>
        <v>0</v>
      </c>
      <c r="BI77" s="26">
        <f t="shared" si="22"/>
        <v>0</v>
      </c>
      <c r="BJ77" s="26">
        <f t="shared" si="23"/>
        <v>0</v>
      </c>
    </row>
    <row r="78" spans="1:62" ht="12.75">
      <c r="A78" s="3" t="s">
        <v>230</v>
      </c>
      <c r="B78" s="3" t="s">
        <v>47</v>
      </c>
      <c r="C78" s="3" t="s">
        <v>231</v>
      </c>
      <c r="D78" s="3" t="s">
        <v>232</v>
      </c>
      <c r="E78" s="3" t="s">
        <v>133</v>
      </c>
      <c r="F78" s="26">
        <v>1</v>
      </c>
      <c r="G78" s="26"/>
      <c r="H78" s="26">
        <f t="shared" si="0"/>
        <v>0</v>
      </c>
      <c r="I78" s="26">
        <f t="shared" si="1"/>
        <v>0</v>
      </c>
      <c r="J78" s="26">
        <f t="shared" si="2"/>
        <v>0</v>
      </c>
      <c r="K78" s="26">
        <v>0.025</v>
      </c>
      <c r="L78" s="26">
        <f t="shared" si="3"/>
        <v>0.025</v>
      </c>
      <c r="M78" s="27" t="s">
        <v>55</v>
      </c>
      <c r="Z78" s="26">
        <f t="shared" si="4"/>
        <v>0</v>
      </c>
      <c r="AB78" s="26">
        <f t="shared" si="5"/>
        <v>0</v>
      </c>
      <c r="AC78" s="26">
        <f t="shared" si="6"/>
        <v>0</v>
      </c>
      <c r="AD78" s="26">
        <f t="shared" si="7"/>
        <v>0</v>
      </c>
      <c r="AE78" s="26">
        <f t="shared" si="8"/>
        <v>0</v>
      </c>
      <c r="AF78" s="26">
        <f t="shared" si="9"/>
        <v>0</v>
      </c>
      <c r="AG78" s="26">
        <f t="shared" si="10"/>
        <v>0</v>
      </c>
      <c r="AH78" s="26">
        <f t="shared" si="11"/>
        <v>0</v>
      </c>
      <c r="AI78" s="18" t="s">
        <v>47</v>
      </c>
      <c r="AJ78" s="26">
        <f t="shared" si="12"/>
        <v>0</v>
      </c>
      <c r="AK78" s="26">
        <f t="shared" si="13"/>
        <v>0</v>
      </c>
      <c r="AL78" s="26">
        <f t="shared" si="14"/>
        <v>0</v>
      </c>
      <c r="AN78" s="26">
        <v>21</v>
      </c>
      <c r="AO78" s="26">
        <f>G78*1</f>
        <v>0</v>
      </c>
      <c r="AP78" s="26">
        <f>G78*(1-1)</f>
        <v>0</v>
      </c>
      <c r="AQ78" s="27" t="s">
        <v>81</v>
      </c>
      <c r="AV78" s="26">
        <f t="shared" si="15"/>
        <v>0</v>
      </c>
      <c r="AW78" s="26">
        <f t="shared" si="16"/>
        <v>0</v>
      </c>
      <c r="AX78" s="26">
        <f t="shared" si="17"/>
        <v>0</v>
      </c>
      <c r="AY78" s="27" t="s">
        <v>222</v>
      </c>
      <c r="AZ78" s="27" t="s">
        <v>223</v>
      </c>
      <c r="BA78" s="18" t="s">
        <v>58</v>
      </c>
      <c r="BC78" s="26">
        <f t="shared" si="18"/>
        <v>0</v>
      </c>
      <c r="BD78" s="26">
        <f t="shared" si="19"/>
        <v>0</v>
      </c>
      <c r="BE78" s="26">
        <v>0</v>
      </c>
      <c r="BF78" s="26">
        <f t="shared" si="20"/>
        <v>0.025</v>
      </c>
      <c r="BH78" s="26">
        <f t="shared" si="21"/>
        <v>0</v>
      </c>
      <c r="BI78" s="26">
        <f t="shared" si="22"/>
        <v>0</v>
      </c>
      <c r="BJ78" s="26">
        <f t="shared" si="23"/>
        <v>0</v>
      </c>
    </row>
    <row r="79" spans="1:62" ht="12.75">
      <c r="A79" s="3" t="s">
        <v>233</v>
      </c>
      <c r="B79" s="3" t="s">
        <v>47</v>
      </c>
      <c r="C79" s="3" t="s">
        <v>234</v>
      </c>
      <c r="D79" s="3" t="s">
        <v>235</v>
      </c>
      <c r="E79" s="3" t="s">
        <v>133</v>
      </c>
      <c r="F79" s="26">
        <v>1</v>
      </c>
      <c r="G79" s="26"/>
      <c r="H79" s="26">
        <f t="shared" si="0"/>
        <v>0</v>
      </c>
      <c r="I79" s="26">
        <f t="shared" si="1"/>
        <v>0</v>
      </c>
      <c r="J79" s="26">
        <f t="shared" si="2"/>
        <v>0</v>
      </c>
      <c r="K79" s="26">
        <v>0.022</v>
      </c>
      <c r="L79" s="26">
        <f t="shared" si="3"/>
        <v>0.022</v>
      </c>
      <c r="M79" s="27" t="s">
        <v>55</v>
      </c>
      <c r="Z79" s="26">
        <f t="shared" si="4"/>
        <v>0</v>
      </c>
      <c r="AB79" s="26">
        <f t="shared" si="5"/>
        <v>0</v>
      </c>
      <c r="AC79" s="26">
        <f t="shared" si="6"/>
        <v>0</v>
      </c>
      <c r="AD79" s="26">
        <f t="shared" si="7"/>
        <v>0</v>
      </c>
      <c r="AE79" s="26">
        <f t="shared" si="8"/>
        <v>0</v>
      </c>
      <c r="AF79" s="26">
        <f t="shared" si="9"/>
        <v>0</v>
      </c>
      <c r="AG79" s="26">
        <f t="shared" si="10"/>
        <v>0</v>
      </c>
      <c r="AH79" s="26">
        <f t="shared" si="11"/>
        <v>0</v>
      </c>
      <c r="AI79" s="18" t="s">
        <v>47</v>
      </c>
      <c r="AJ79" s="26">
        <f t="shared" si="12"/>
        <v>0</v>
      </c>
      <c r="AK79" s="26">
        <f t="shared" si="13"/>
        <v>0</v>
      </c>
      <c r="AL79" s="26">
        <f t="shared" si="14"/>
        <v>0</v>
      </c>
      <c r="AN79" s="26">
        <v>21</v>
      </c>
      <c r="AO79" s="26">
        <f>G79*1</f>
        <v>0</v>
      </c>
      <c r="AP79" s="26">
        <f>G79*(1-1)</f>
        <v>0</v>
      </c>
      <c r="AQ79" s="27" t="s">
        <v>81</v>
      </c>
      <c r="AV79" s="26">
        <f t="shared" si="15"/>
        <v>0</v>
      </c>
      <c r="AW79" s="26">
        <f t="shared" si="16"/>
        <v>0</v>
      </c>
      <c r="AX79" s="26">
        <f t="shared" si="17"/>
        <v>0</v>
      </c>
      <c r="AY79" s="27" t="s">
        <v>222</v>
      </c>
      <c r="AZ79" s="27" t="s">
        <v>223</v>
      </c>
      <c r="BA79" s="18" t="s">
        <v>58</v>
      </c>
      <c r="BC79" s="26">
        <f t="shared" si="18"/>
        <v>0</v>
      </c>
      <c r="BD79" s="26">
        <f t="shared" si="19"/>
        <v>0</v>
      </c>
      <c r="BE79" s="26">
        <v>0</v>
      </c>
      <c r="BF79" s="26">
        <f t="shared" si="20"/>
        <v>0.022</v>
      </c>
      <c r="BH79" s="26">
        <f t="shared" si="21"/>
        <v>0</v>
      </c>
      <c r="BI79" s="26">
        <f t="shared" si="22"/>
        <v>0</v>
      </c>
      <c r="BJ79" s="26">
        <f t="shared" si="23"/>
        <v>0</v>
      </c>
    </row>
    <row r="80" spans="1:62" ht="12.75">
      <c r="A80" s="3" t="s">
        <v>236</v>
      </c>
      <c r="B80" s="3" t="s">
        <v>47</v>
      </c>
      <c r="C80" s="3" t="s">
        <v>237</v>
      </c>
      <c r="D80" s="3" t="s">
        <v>238</v>
      </c>
      <c r="E80" s="3" t="s">
        <v>111</v>
      </c>
      <c r="F80" s="26">
        <v>0.06</v>
      </c>
      <c r="G80" s="26"/>
      <c r="H80" s="26">
        <f t="shared" si="0"/>
        <v>0</v>
      </c>
      <c r="I80" s="26">
        <f t="shared" si="1"/>
        <v>0</v>
      </c>
      <c r="J80" s="26">
        <f t="shared" si="2"/>
        <v>0</v>
      </c>
      <c r="K80" s="26">
        <v>0</v>
      </c>
      <c r="L80" s="26">
        <f t="shared" si="3"/>
        <v>0</v>
      </c>
      <c r="M80" s="27" t="s">
        <v>55</v>
      </c>
      <c r="Z80" s="26">
        <f t="shared" si="4"/>
        <v>0</v>
      </c>
      <c r="AB80" s="26">
        <f t="shared" si="5"/>
        <v>0</v>
      </c>
      <c r="AC80" s="26">
        <f t="shared" si="6"/>
        <v>0</v>
      </c>
      <c r="AD80" s="26">
        <f t="shared" si="7"/>
        <v>0</v>
      </c>
      <c r="AE80" s="26">
        <f t="shared" si="8"/>
        <v>0</v>
      </c>
      <c r="AF80" s="26">
        <f t="shared" si="9"/>
        <v>0</v>
      </c>
      <c r="AG80" s="26">
        <f t="shared" si="10"/>
        <v>0</v>
      </c>
      <c r="AH80" s="26">
        <f t="shared" si="11"/>
        <v>0</v>
      </c>
      <c r="AI80" s="18" t="s">
        <v>47</v>
      </c>
      <c r="AJ80" s="26">
        <f t="shared" si="12"/>
        <v>0</v>
      </c>
      <c r="AK80" s="26">
        <f t="shared" si="13"/>
        <v>0</v>
      </c>
      <c r="AL80" s="26">
        <f t="shared" si="14"/>
        <v>0</v>
      </c>
      <c r="AN80" s="26">
        <v>21</v>
      </c>
      <c r="AO80" s="26">
        <f>G80*0</f>
        <v>0</v>
      </c>
      <c r="AP80" s="26">
        <f>G80*(1-0)</f>
        <v>0</v>
      </c>
      <c r="AQ80" s="27" t="s">
        <v>74</v>
      </c>
      <c r="AV80" s="26">
        <f t="shared" si="15"/>
        <v>0</v>
      </c>
      <c r="AW80" s="26">
        <f t="shared" si="16"/>
        <v>0</v>
      </c>
      <c r="AX80" s="26">
        <f t="shared" si="17"/>
        <v>0</v>
      </c>
      <c r="AY80" s="27" t="s">
        <v>222</v>
      </c>
      <c r="AZ80" s="27" t="s">
        <v>223</v>
      </c>
      <c r="BA80" s="18" t="s">
        <v>58</v>
      </c>
      <c r="BC80" s="26">
        <f t="shared" si="18"/>
        <v>0</v>
      </c>
      <c r="BD80" s="26">
        <f t="shared" si="19"/>
        <v>0</v>
      </c>
      <c r="BE80" s="26">
        <v>0</v>
      </c>
      <c r="BF80" s="26">
        <f t="shared" si="20"/>
        <v>0</v>
      </c>
      <c r="BH80" s="26">
        <f t="shared" si="21"/>
        <v>0</v>
      </c>
      <c r="BI80" s="26">
        <f t="shared" si="22"/>
        <v>0</v>
      </c>
      <c r="BJ80" s="26">
        <f t="shared" si="23"/>
        <v>0</v>
      </c>
    </row>
    <row r="81" spans="1:47" ht="12.75">
      <c r="A81" s="23"/>
      <c r="B81" s="24" t="s">
        <v>47</v>
      </c>
      <c r="C81" s="24" t="s">
        <v>239</v>
      </c>
      <c r="D81" s="24" t="s">
        <v>240</v>
      </c>
      <c r="E81" s="23" t="s">
        <v>4</v>
      </c>
      <c r="F81" s="23" t="s">
        <v>4</v>
      </c>
      <c r="G81" s="23"/>
      <c r="H81" s="25">
        <f>SUM(H82:H82)</f>
        <v>0</v>
      </c>
      <c r="I81" s="25">
        <f>SUM(I82:I82)</f>
        <v>0</v>
      </c>
      <c r="J81" s="25">
        <f>SUM(J82:J82)</f>
        <v>0</v>
      </c>
      <c r="K81" s="18"/>
      <c r="L81" s="25">
        <f>SUM(L82:L82)</f>
        <v>0.011000000000000001</v>
      </c>
      <c r="M81" s="18"/>
      <c r="AI81" s="18" t="s">
        <v>47</v>
      </c>
      <c r="AS81" s="25">
        <f>SUM(AJ82:AJ82)</f>
        <v>0</v>
      </c>
      <c r="AT81" s="25">
        <f>SUM(AK82:AK82)</f>
        <v>0</v>
      </c>
      <c r="AU81" s="25">
        <f>SUM(AL82:AL82)</f>
        <v>0</v>
      </c>
    </row>
    <row r="82" spans="1:62" ht="12.75">
      <c r="A82" s="3" t="s">
        <v>241</v>
      </c>
      <c r="B82" s="3" t="s">
        <v>47</v>
      </c>
      <c r="C82" s="3" t="s">
        <v>242</v>
      </c>
      <c r="D82" s="3" t="s">
        <v>514</v>
      </c>
      <c r="E82" s="3" t="s">
        <v>84</v>
      </c>
      <c r="F82" s="26">
        <v>50</v>
      </c>
      <c r="G82" s="26"/>
      <c r="H82" s="26">
        <f>F82*AO82</f>
        <v>0</v>
      </c>
      <c r="I82" s="26">
        <f>F82*AP82</f>
        <v>0</v>
      </c>
      <c r="J82" s="26">
        <f>F82*G82</f>
        <v>0</v>
      </c>
      <c r="K82" s="26">
        <v>0.00022</v>
      </c>
      <c r="L82" s="26">
        <f>F82*K82</f>
        <v>0.011000000000000001</v>
      </c>
      <c r="M82" s="27" t="s">
        <v>55</v>
      </c>
      <c r="Z82" s="26">
        <f>IF(AQ82="5",BJ82,0)</f>
        <v>0</v>
      </c>
      <c r="AB82" s="26">
        <f>IF(AQ82="1",BH82,0)</f>
        <v>0</v>
      </c>
      <c r="AC82" s="26">
        <f>IF(AQ82="1",BI82,0)</f>
        <v>0</v>
      </c>
      <c r="AD82" s="26">
        <f>IF(AQ82="7",BH82,0)</f>
        <v>0</v>
      </c>
      <c r="AE82" s="26">
        <f>IF(AQ82="7",BI82,0)</f>
        <v>0</v>
      </c>
      <c r="AF82" s="26">
        <f>IF(AQ82="2",BH82,0)</f>
        <v>0</v>
      </c>
      <c r="AG82" s="26">
        <f>IF(AQ82="2",BI82,0)</f>
        <v>0</v>
      </c>
      <c r="AH82" s="26">
        <f>IF(AQ82="0",BJ82,0)</f>
        <v>0</v>
      </c>
      <c r="AI82" s="18" t="s">
        <v>47</v>
      </c>
      <c r="AJ82" s="26">
        <f>IF(AN82=0,J82,0)</f>
        <v>0</v>
      </c>
      <c r="AK82" s="26">
        <f>IF(AN82=15,J82,0)</f>
        <v>0</v>
      </c>
      <c r="AL82" s="26">
        <f>IF(AN82=21,J82,0)</f>
        <v>0</v>
      </c>
      <c r="AN82" s="26">
        <v>21</v>
      </c>
      <c r="AO82" s="26">
        <f>G82*0.092512666541565</f>
        <v>0</v>
      </c>
      <c r="AP82" s="26">
        <f>G82*(1-0.092512666541565)</f>
        <v>0</v>
      </c>
      <c r="AQ82" s="27" t="s">
        <v>81</v>
      </c>
      <c r="AV82" s="26">
        <f>AW82+AX82</f>
        <v>0</v>
      </c>
      <c r="AW82" s="26">
        <f>F82*AO82</f>
        <v>0</v>
      </c>
      <c r="AX82" s="26">
        <f>F82*AP82</f>
        <v>0</v>
      </c>
      <c r="AY82" s="27" t="s">
        <v>244</v>
      </c>
      <c r="AZ82" s="27" t="s">
        <v>245</v>
      </c>
      <c r="BA82" s="18" t="s">
        <v>58</v>
      </c>
      <c r="BC82" s="26">
        <f>AW82+AX82</f>
        <v>0</v>
      </c>
      <c r="BD82" s="26">
        <f>G82/(100-BE82)*100</f>
        <v>0</v>
      </c>
      <c r="BE82" s="26">
        <v>0</v>
      </c>
      <c r="BF82" s="26">
        <f>L82</f>
        <v>0.011000000000000001</v>
      </c>
      <c r="BH82" s="26">
        <f>F82*AO82</f>
        <v>0</v>
      </c>
      <c r="BI82" s="26">
        <f>F82*AP82</f>
        <v>0</v>
      </c>
      <c r="BJ82" s="26">
        <f>F82*G82</f>
        <v>0</v>
      </c>
    </row>
    <row r="83" spans="1:47" ht="12.75">
      <c r="A83" s="23"/>
      <c r="B83" s="24" t="s">
        <v>47</v>
      </c>
      <c r="C83" s="24" t="s">
        <v>246</v>
      </c>
      <c r="D83" s="24" t="s">
        <v>247</v>
      </c>
      <c r="E83" s="23" t="s">
        <v>4</v>
      </c>
      <c r="F83" s="23" t="s">
        <v>4</v>
      </c>
      <c r="G83" s="23"/>
      <c r="H83" s="25">
        <f>SUM(H84:H87)</f>
        <v>0</v>
      </c>
      <c r="I83" s="25">
        <f>SUM(I84:I87)</f>
        <v>0</v>
      </c>
      <c r="J83" s="25">
        <f>SUM(J84:J87)</f>
        <v>0</v>
      </c>
      <c r="K83" s="18"/>
      <c r="L83" s="25">
        <f>SUM(L84:L87)</f>
        <v>0.09164</v>
      </c>
      <c r="M83" s="18"/>
      <c r="AI83" s="18" t="s">
        <v>47</v>
      </c>
      <c r="AS83" s="25">
        <f>SUM(AJ84:AJ87)</f>
        <v>0</v>
      </c>
      <c r="AT83" s="25">
        <f>SUM(AK84:AK87)</f>
        <v>0</v>
      </c>
      <c r="AU83" s="25">
        <f>SUM(AL84:AL87)</f>
        <v>0</v>
      </c>
    </row>
    <row r="84" spans="1:62" ht="12.75">
      <c r="A84" s="3" t="s">
        <v>144</v>
      </c>
      <c r="B84" s="3" t="s">
        <v>47</v>
      </c>
      <c r="C84" s="3" t="s">
        <v>248</v>
      </c>
      <c r="D84" s="3" t="s">
        <v>249</v>
      </c>
      <c r="E84" s="3" t="s">
        <v>156</v>
      </c>
      <c r="F84" s="26">
        <v>6</v>
      </c>
      <c r="G84" s="26"/>
      <c r="H84" s="26">
        <f>F84*AO84</f>
        <v>0</v>
      </c>
      <c r="I84" s="26">
        <f>F84*AP84</f>
        <v>0</v>
      </c>
      <c r="J84" s="26">
        <f>F84*G84</f>
        <v>0</v>
      </c>
      <c r="K84" s="26">
        <v>0.00161</v>
      </c>
      <c r="L84" s="26">
        <f>F84*K84</f>
        <v>0.00966</v>
      </c>
      <c r="M84" s="27" t="s">
        <v>55</v>
      </c>
      <c r="Z84" s="26">
        <f>IF(AQ84="5",BJ84,0)</f>
        <v>0</v>
      </c>
      <c r="AB84" s="26">
        <f>IF(AQ84="1",BH84,0)</f>
        <v>0</v>
      </c>
      <c r="AC84" s="26">
        <f>IF(AQ84="1",BI84,0)</f>
        <v>0</v>
      </c>
      <c r="AD84" s="26">
        <f>IF(AQ84="7",BH84,0)</f>
        <v>0</v>
      </c>
      <c r="AE84" s="26">
        <f>IF(AQ84="7",BI84,0)</f>
        <v>0</v>
      </c>
      <c r="AF84" s="26">
        <f>IF(AQ84="2",BH84,0)</f>
        <v>0</v>
      </c>
      <c r="AG84" s="26">
        <f>IF(AQ84="2",BI84,0)</f>
        <v>0</v>
      </c>
      <c r="AH84" s="26">
        <f>IF(AQ84="0",BJ84,0)</f>
        <v>0</v>
      </c>
      <c r="AI84" s="18" t="s">
        <v>47</v>
      </c>
      <c r="AJ84" s="26">
        <f>IF(AN84=0,J84,0)</f>
        <v>0</v>
      </c>
      <c r="AK84" s="26">
        <f>IF(AN84=15,J84,0)</f>
        <v>0</v>
      </c>
      <c r="AL84" s="26">
        <f>IF(AN84=21,J84,0)</f>
        <v>0</v>
      </c>
      <c r="AN84" s="26">
        <v>21</v>
      </c>
      <c r="AO84" s="26">
        <f>G84*0.720166199632815</f>
        <v>0</v>
      </c>
      <c r="AP84" s="26">
        <f>G84*(1-0.720166199632815)</f>
        <v>0</v>
      </c>
      <c r="AQ84" s="27" t="s">
        <v>51</v>
      </c>
      <c r="AV84" s="26">
        <f>AW84+AX84</f>
        <v>0</v>
      </c>
      <c r="AW84" s="26">
        <f>F84*AO84</f>
        <v>0</v>
      </c>
      <c r="AX84" s="26">
        <f>F84*AP84</f>
        <v>0</v>
      </c>
      <c r="AY84" s="27" t="s">
        <v>250</v>
      </c>
      <c r="AZ84" s="27" t="s">
        <v>251</v>
      </c>
      <c r="BA84" s="18" t="s">
        <v>58</v>
      </c>
      <c r="BC84" s="26">
        <f>AW84+AX84</f>
        <v>0</v>
      </c>
      <c r="BD84" s="26">
        <f>G84/(100-BE84)*100</f>
        <v>0</v>
      </c>
      <c r="BE84" s="26">
        <v>0</v>
      </c>
      <c r="BF84" s="26">
        <f>L84</f>
        <v>0.00966</v>
      </c>
      <c r="BH84" s="26">
        <f>F84*AO84</f>
        <v>0</v>
      </c>
      <c r="BI84" s="26">
        <f>F84*AP84</f>
        <v>0</v>
      </c>
      <c r="BJ84" s="26">
        <f>F84*G84</f>
        <v>0</v>
      </c>
    </row>
    <row r="85" ht="12.75">
      <c r="D85" s="2" t="s">
        <v>252</v>
      </c>
    </row>
    <row r="86" spans="1:62" ht="12.75">
      <c r="A86" s="3" t="s">
        <v>253</v>
      </c>
      <c r="B86" s="3" t="s">
        <v>47</v>
      </c>
      <c r="C86" s="3" t="s">
        <v>254</v>
      </c>
      <c r="D86" s="3" t="s">
        <v>255</v>
      </c>
      <c r="E86" s="3" t="s">
        <v>133</v>
      </c>
      <c r="F86" s="26">
        <v>1</v>
      </c>
      <c r="G86" s="26"/>
      <c r="H86" s="26">
        <f>F86*AO86</f>
        <v>0</v>
      </c>
      <c r="I86" s="26">
        <f>F86*AP86</f>
        <v>0</v>
      </c>
      <c r="J86" s="26">
        <f>F86*G86</f>
        <v>0</v>
      </c>
      <c r="K86" s="26">
        <v>0.08198</v>
      </c>
      <c r="L86" s="26">
        <f>F86*K86</f>
        <v>0.08198</v>
      </c>
      <c r="M86" s="27" t="s">
        <v>55</v>
      </c>
      <c r="Z86" s="26">
        <f>IF(AQ86="5",BJ86,0)</f>
        <v>0</v>
      </c>
      <c r="AB86" s="26">
        <f>IF(AQ86="1",BH86,0)</f>
        <v>0</v>
      </c>
      <c r="AC86" s="26">
        <f>IF(AQ86="1",BI86,0)</f>
        <v>0</v>
      </c>
      <c r="AD86" s="26">
        <f>IF(AQ86="7",BH86,0)</f>
        <v>0</v>
      </c>
      <c r="AE86" s="26">
        <f>IF(AQ86="7",BI86,0)</f>
        <v>0</v>
      </c>
      <c r="AF86" s="26">
        <f>IF(AQ86="2",BH86,0)</f>
        <v>0</v>
      </c>
      <c r="AG86" s="26">
        <f>IF(AQ86="2",BI86,0)</f>
        <v>0</v>
      </c>
      <c r="AH86" s="26">
        <f>IF(AQ86="0",BJ86,0)</f>
        <v>0</v>
      </c>
      <c r="AI86" s="18" t="s">
        <v>47</v>
      </c>
      <c r="AJ86" s="26">
        <f>IF(AN86=0,J86,0)</f>
        <v>0</v>
      </c>
      <c r="AK86" s="26">
        <f>IF(AN86=15,J86,0)</f>
        <v>0</v>
      </c>
      <c r="AL86" s="26">
        <f>IF(AN86=21,J86,0)</f>
        <v>0</v>
      </c>
      <c r="AN86" s="26">
        <v>21</v>
      </c>
      <c r="AO86" s="26">
        <f>G86*0.940787628865979</f>
        <v>0</v>
      </c>
      <c r="AP86" s="26">
        <f>G86*(1-0.940787628865979)</f>
        <v>0</v>
      </c>
      <c r="AQ86" s="27" t="s">
        <v>51</v>
      </c>
      <c r="AV86" s="26">
        <f>AW86+AX86</f>
        <v>0</v>
      </c>
      <c r="AW86" s="26">
        <f>F86*AO86</f>
        <v>0</v>
      </c>
      <c r="AX86" s="26">
        <f>F86*AP86</f>
        <v>0</v>
      </c>
      <c r="AY86" s="27" t="s">
        <v>250</v>
      </c>
      <c r="AZ86" s="27" t="s">
        <v>251</v>
      </c>
      <c r="BA86" s="18" t="s">
        <v>58</v>
      </c>
      <c r="BC86" s="26">
        <f>AW86+AX86</f>
        <v>0</v>
      </c>
      <c r="BD86" s="26">
        <f>G86/(100-BE86)*100</f>
        <v>0</v>
      </c>
      <c r="BE86" s="26">
        <v>0</v>
      </c>
      <c r="BF86" s="26">
        <f>L86</f>
        <v>0.08198</v>
      </c>
      <c r="BH86" s="26">
        <f>F86*AO86</f>
        <v>0</v>
      </c>
      <c r="BI86" s="26">
        <f>F86*AP86</f>
        <v>0</v>
      </c>
      <c r="BJ86" s="26">
        <f>F86*G86</f>
        <v>0</v>
      </c>
    </row>
    <row r="87" spans="1:62" ht="12.75">
      <c r="A87" s="3" t="s">
        <v>256</v>
      </c>
      <c r="B87" s="3" t="s">
        <v>47</v>
      </c>
      <c r="C87" s="3" t="s">
        <v>257</v>
      </c>
      <c r="D87" s="3" t="s">
        <v>258</v>
      </c>
      <c r="E87" s="3" t="s">
        <v>111</v>
      </c>
      <c r="F87" s="26">
        <v>0.092</v>
      </c>
      <c r="G87" s="26"/>
      <c r="H87" s="26">
        <f>F87*AO87</f>
        <v>0</v>
      </c>
      <c r="I87" s="26">
        <f>F87*AP87</f>
        <v>0</v>
      </c>
      <c r="J87" s="26">
        <f>F87*G87</f>
        <v>0</v>
      </c>
      <c r="K87" s="26">
        <v>0</v>
      </c>
      <c r="L87" s="26">
        <f>F87*K87</f>
        <v>0</v>
      </c>
      <c r="M87" s="27" t="s">
        <v>55</v>
      </c>
      <c r="Z87" s="26">
        <f>IF(AQ87="5",BJ87,0)</f>
        <v>0</v>
      </c>
      <c r="AB87" s="26">
        <f>IF(AQ87="1",BH87,0)</f>
        <v>0</v>
      </c>
      <c r="AC87" s="26">
        <f>IF(AQ87="1",BI87,0)</f>
        <v>0</v>
      </c>
      <c r="AD87" s="26">
        <f>IF(AQ87="7",BH87,0)</f>
        <v>0</v>
      </c>
      <c r="AE87" s="26">
        <f>IF(AQ87="7",BI87,0)</f>
        <v>0</v>
      </c>
      <c r="AF87" s="26">
        <f>IF(AQ87="2",BH87,0)</f>
        <v>0</v>
      </c>
      <c r="AG87" s="26">
        <f>IF(AQ87="2",BI87,0)</f>
        <v>0</v>
      </c>
      <c r="AH87" s="26">
        <f>IF(AQ87="0",BJ87,0)</f>
        <v>0</v>
      </c>
      <c r="AI87" s="18" t="s">
        <v>47</v>
      </c>
      <c r="AJ87" s="26">
        <f>IF(AN87=0,J87,0)</f>
        <v>0</v>
      </c>
      <c r="AK87" s="26">
        <f>IF(AN87=15,J87,0)</f>
        <v>0</v>
      </c>
      <c r="AL87" s="26">
        <f>IF(AN87=21,J87,0)</f>
        <v>0</v>
      </c>
      <c r="AN87" s="26">
        <v>21</v>
      </c>
      <c r="AO87" s="26">
        <f>G87*0</f>
        <v>0</v>
      </c>
      <c r="AP87" s="26">
        <f>G87*(1-0)</f>
        <v>0</v>
      </c>
      <c r="AQ87" s="27" t="s">
        <v>74</v>
      </c>
      <c r="AV87" s="26">
        <f>AW87+AX87</f>
        <v>0</v>
      </c>
      <c r="AW87" s="26">
        <f>F87*AO87</f>
        <v>0</v>
      </c>
      <c r="AX87" s="26">
        <f>F87*AP87</f>
        <v>0</v>
      </c>
      <c r="AY87" s="27" t="s">
        <v>250</v>
      </c>
      <c r="AZ87" s="27" t="s">
        <v>251</v>
      </c>
      <c r="BA87" s="18" t="s">
        <v>58</v>
      </c>
      <c r="BC87" s="26">
        <f>AW87+AX87</f>
        <v>0</v>
      </c>
      <c r="BD87" s="26">
        <f>G87/(100-BE87)*100</f>
        <v>0</v>
      </c>
      <c r="BE87" s="26">
        <v>0</v>
      </c>
      <c r="BF87" s="26">
        <f>L87</f>
        <v>0</v>
      </c>
      <c r="BH87" s="26">
        <f>F87*AO87</f>
        <v>0</v>
      </c>
      <c r="BI87" s="26">
        <f>F87*AP87</f>
        <v>0</v>
      </c>
      <c r="BJ87" s="26">
        <f>F87*G87</f>
        <v>0</v>
      </c>
    </row>
    <row r="88" spans="1:47" ht="12.75">
      <c r="A88" s="23"/>
      <c r="B88" s="24" t="s">
        <v>47</v>
      </c>
      <c r="C88" s="24" t="s">
        <v>259</v>
      </c>
      <c r="D88" s="24" t="s">
        <v>260</v>
      </c>
      <c r="E88" s="23" t="s">
        <v>4</v>
      </c>
      <c r="F88" s="23" t="s">
        <v>4</v>
      </c>
      <c r="G88" s="23"/>
      <c r="H88" s="25">
        <f>SUM(H89:H92)</f>
        <v>0</v>
      </c>
      <c r="I88" s="25">
        <f>SUM(I89:I92)</f>
        <v>0</v>
      </c>
      <c r="J88" s="25">
        <f>SUM(J89:J92)</f>
        <v>0</v>
      </c>
      <c r="K88" s="18"/>
      <c r="L88" s="25">
        <f>SUM(L89:L92)</f>
        <v>0.29362</v>
      </c>
      <c r="M88" s="18"/>
      <c r="AI88" s="18" t="s">
        <v>47</v>
      </c>
      <c r="AS88" s="25">
        <f>SUM(AJ89:AJ92)</f>
        <v>0</v>
      </c>
      <c r="AT88" s="25">
        <f>SUM(AK89:AK92)</f>
        <v>0</v>
      </c>
      <c r="AU88" s="25">
        <f>SUM(AL89:AL92)</f>
        <v>0</v>
      </c>
    </row>
    <row r="89" spans="1:62" ht="12.75">
      <c r="A89" s="3" t="s">
        <v>261</v>
      </c>
      <c r="B89" s="3" t="s">
        <v>47</v>
      </c>
      <c r="C89" s="3" t="s">
        <v>262</v>
      </c>
      <c r="D89" s="3" t="s">
        <v>263</v>
      </c>
      <c r="E89" s="3" t="s">
        <v>84</v>
      </c>
      <c r="F89" s="26">
        <v>30</v>
      </c>
      <c r="G89" s="26"/>
      <c r="H89" s="26">
        <f>F89*AO89</f>
        <v>0</v>
      </c>
      <c r="I89" s="26">
        <f>F89*AP89</f>
        <v>0</v>
      </c>
      <c r="J89" s="26">
        <f>F89*G89</f>
        <v>0</v>
      </c>
      <c r="K89" s="26">
        <v>0.00121</v>
      </c>
      <c r="L89" s="26">
        <f>F89*K89</f>
        <v>0.0363</v>
      </c>
      <c r="M89" s="27" t="s">
        <v>55</v>
      </c>
      <c r="Z89" s="26">
        <f>IF(AQ89="5",BJ89,0)</f>
        <v>0</v>
      </c>
      <c r="AB89" s="26">
        <f>IF(AQ89="1",BH89,0)</f>
        <v>0</v>
      </c>
      <c r="AC89" s="26">
        <f>IF(AQ89="1",BI89,0)</f>
        <v>0</v>
      </c>
      <c r="AD89" s="26">
        <f>IF(AQ89="7",BH89,0)</f>
        <v>0</v>
      </c>
      <c r="AE89" s="26">
        <f>IF(AQ89="7",BI89,0)</f>
        <v>0</v>
      </c>
      <c r="AF89" s="26">
        <f>IF(AQ89="2",BH89,0)</f>
        <v>0</v>
      </c>
      <c r="AG89" s="26">
        <f>IF(AQ89="2",BI89,0)</f>
        <v>0</v>
      </c>
      <c r="AH89" s="26">
        <f>IF(AQ89="0",BJ89,0)</f>
        <v>0</v>
      </c>
      <c r="AI89" s="18" t="s">
        <v>47</v>
      </c>
      <c r="AJ89" s="26">
        <f>IF(AN89=0,J89,0)</f>
        <v>0</v>
      </c>
      <c r="AK89" s="26">
        <f>IF(AN89=15,J89,0)</f>
        <v>0</v>
      </c>
      <c r="AL89" s="26">
        <f>IF(AN89=21,J89,0)</f>
        <v>0</v>
      </c>
      <c r="AN89" s="26">
        <v>21</v>
      </c>
      <c r="AO89" s="26">
        <f>G89*0.337601645013553</f>
        <v>0</v>
      </c>
      <c r="AP89" s="26">
        <f>G89*(1-0.337601645013553)</f>
        <v>0</v>
      </c>
      <c r="AQ89" s="27" t="s">
        <v>51</v>
      </c>
      <c r="AV89" s="26">
        <f>AW89+AX89</f>
        <v>0</v>
      </c>
      <c r="AW89" s="26">
        <f>F89*AO89</f>
        <v>0</v>
      </c>
      <c r="AX89" s="26">
        <f>F89*AP89</f>
        <v>0</v>
      </c>
      <c r="AY89" s="27" t="s">
        <v>264</v>
      </c>
      <c r="AZ89" s="27" t="s">
        <v>265</v>
      </c>
      <c r="BA89" s="18" t="s">
        <v>58</v>
      </c>
      <c r="BC89" s="26">
        <f>AW89+AX89</f>
        <v>0</v>
      </c>
      <c r="BD89" s="26">
        <f>G89/(100-BE89)*100</f>
        <v>0</v>
      </c>
      <c r="BE89" s="26">
        <v>0</v>
      </c>
      <c r="BF89" s="26">
        <f>L89</f>
        <v>0.0363</v>
      </c>
      <c r="BH89" s="26">
        <f>F89*AO89</f>
        <v>0</v>
      </c>
      <c r="BI89" s="26">
        <f>F89*AP89</f>
        <v>0</v>
      </c>
      <c r="BJ89" s="26">
        <f>F89*G89</f>
        <v>0</v>
      </c>
    </row>
    <row r="90" spans="1:62" ht="12.75">
      <c r="A90" s="3" t="s">
        <v>266</v>
      </c>
      <c r="B90" s="3" t="s">
        <v>47</v>
      </c>
      <c r="C90" s="3" t="s">
        <v>267</v>
      </c>
      <c r="D90" s="3" t="s">
        <v>268</v>
      </c>
      <c r="E90" s="3" t="s">
        <v>84</v>
      </c>
      <c r="F90" s="26">
        <v>14</v>
      </c>
      <c r="G90" s="26"/>
      <c r="H90" s="26">
        <f>F90*AO90</f>
        <v>0</v>
      </c>
      <c r="I90" s="26">
        <f>F90*AP90</f>
        <v>0</v>
      </c>
      <c r="J90" s="26">
        <f>F90*G90</f>
        <v>0</v>
      </c>
      <c r="K90" s="26">
        <v>0.01838</v>
      </c>
      <c r="L90" s="26">
        <f>F90*K90</f>
        <v>0.25732</v>
      </c>
      <c r="M90" s="27" t="s">
        <v>55</v>
      </c>
      <c r="Z90" s="26">
        <f>IF(AQ90="5",BJ90,0)</f>
        <v>0</v>
      </c>
      <c r="AB90" s="26">
        <f>IF(AQ90="1",BH90,0)</f>
        <v>0</v>
      </c>
      <c r="AC90" s="26">
        <f>IF(AQ90="1",BI90,0)</f>
        <v>0</v>
      </c>
      <c r="AD90" s="26">
        <f>IF(AQ90="7",BH90,0)</f>
        <v>0</v>
      </c>
      <c r="AE90" s="26">
        <f>IF(AQ90="7",BI90,0)</f>
        <v>0</v>
      </c>
      <c r="AF90" s="26">
        <f>IF(AQ90="2",BH90,0)</f>
        <v>0</v>
      </c>
      <c r="AG90" s="26">
        <f>IF(AQ90="2",BI90,0)</f>
        <v>0</v>
      </c>
      <c r="AH90" s="26">
        <f>IF(AQ90="0",BJ90,0)</f>
        <v>0</v>
      </c>
      <c r="AI90" s="18" t="s">
        <v>47</v>
      </c>
      <c r="AJ90" s="26">
        <f>IF(AN90=0,J90,0)</f>
        <v>0</v>
      </c>
      <c r="AK90" s="26">
        <f>IF(AN90=15,J90,0)</f>
        <v>0</v>
      </c>
      <c r="AL90" s="26">
        <f>IF(AN90=21,J90,0)</f>
        <v>0</v>
      </c>
      <c r="AN90" s="26">
        <v>21</v>
      </c>
      <c r="AO90" s="26">
        <f>G90*0.00032520325203252</f>
        <v>0</v>
      </c>
      <c r="AP90" s="26">
        <f>G90*(1-0.00032520325203252)</f>
        <v>0</v>
      </c>
      <c r="AQ90" s="27" t="s">
        <v>51</v>
      </c>
      <c r="AV90" s="26">
        <f>AW90+AX90</f>
        <v>0</v>
      </c>
      <c r="AW90" s="26">
        <f>F90*AO90</f>
        <v>0</v>
      </c>
      <c r="AX90" s="26">
        <f>F90*AP90</f>
        <v>0</v>
      </c>
      <c r="AY90" s="27" t="s">
        <v>264</v>
      </c>
      <c r="AZ90" s="27" t="s">
        <v>265</v>
      </c>
      <c r="BA90" s="18" t="s">
        <v>58</v>
      </c>
      <c r="BC90" s="26">
        <f>AW90+AX90</f>
        <v>0</v>
      </c>
      <c r="BD90" s="26">
        <f>G90/(100-BE90)*100</f>
        <v>0</v>
      </c>
      <c r="BE90" s="26">
        <v>0</v>
      </c>
      <c r="BF90" s="26">
        <f>L90</f>
        <v>0.25732</v>
      </c>
      <c r="BH90" s="26">
        <f>F90*AO90</f>
        <v>0</v>
      </c>
      <c r="BI90" s="26">
        <f>F90*AP90</f>
        <v>0</v>
      </c>
      <c r="BJ90" s="26">
        <f>F90*G90</f>
        <v>0</v>
      </c>
    </row>
    <row r="91" spans="1:62" ht="12.75">
      <c r="A91" s="3" t="s">
        <v>269</v>
      </c>
      <c r="B91" s="3" t="s">
        <v>47</v>
      </c>
      <c r="C91" s="3" t="s">
        <v>270</v>
      </c>
      <c r="D91" s="3" t="s">
        <v>271</v>
      </c>
      <c r="E91" s="3" t="s">
        <v>84</v>
      </c>
      <c r="F91" s="26">
        <v>420</v>
      </c>
      <c r="G91" s="26"/>
      <c r="H91" s="26">
        <f>F91*AO91</f>
        <v>0</v>
      </c>
      <c r="I91" s="26">
        <f>F91*AP91</f>
        <v>0</v>
      </c>
      <c r="J91" s="26">
        <f>F91*G91</f>
        <v>0</v>
      </c>
      <c r="K91" s="26">
        <v>0</v>
      </c>
      <c r="L91" s="26">
        <f>F91*K91</f>
        <v>0</v>
      </c>
      <c r="M91" s="27" t="s">
        <v>55</v>
      </c>
      <c r="Z91" s="26">
        <f>IF(AQ91="5",BJ91,0)</f>
        <v>0</v>
      </c>
      <c r="AB91" s="26">
        <f>IF(AQ91="1",BH91,0)</f>
        <v>0</v>
      </c>
      <c r="AC91" s="26">
        <f>IF(AQ91="1",BI91,0)</f>
        <v>0</v>
      </c>
      <c r="AD91" s="26">
        <f>IF(AQ91="7",BH91,0)</f>
        <v>0</v>
      </c>
      <c r="AE91" s="26">
        <f>IF(AQ91="7",BI91,0)</f>
        <v>0</v>
      </c>
      <c r="AF91" s="26">
        <f>IF(AQ91="2",BH91,0)</f>
        <v>0</v>
      </c>
      <c r="AG91" s="26">
        <f>IF(AQ91="2",BI91,0)</f>
        <v>0</v>
      </c>
      <c r="AH91" s="26">
        <f>IF(AQ91="0",BJ91,0)</f>
        <v>0</v>
      </c>
      <c r="AI91" s="18" t="s">
        <v>47</v>
      </c>
      <c r="AJ91" s="26">
        <f>IF(AN91=0,J91,0)</f>
        <v>0</v>
      </c>
      <c r="AK91" s="26">
        <f>IF(AN91=15,J91,0)</f>
        <v>0</v>
      </c>
      <c r="AL91" s="26">
        <f>IF(AN91=21,J91,0)</f>
        <v>0</v>
      </c>
      <c r="AN91" s="26">
        <v>21</v>
      </c>
      <c r="AO91" s="26">
        <f>G91*0</f>
        <v>0</v>
      </c>
      <c r="AP91" s="26">
        <f>G91*(1-0)</f>
        <v>0</v>
      </c>
      <c r="AQ91" s="27" t="s">
        <v>51</v>
      </c>
      <c r="AV91" s="26">
        <f>AW91+AX91</f>
        <v>0</v>
      </c>
      <c r="AW91" s="26">
        <f>F91*AO91</f>
        <v>0</v>
      </c>
      <c r="AX91" s="26">
        <f>F91*AP91</f>
        <v>0</v>
      </c>
      <c r="AY91" s="27" t="s">
        <v>264</v>
      </c>
      <c r="AZ91" s="27" t="s">
        <v>265</v>
      </c>
      <c r="BA91" s="18" t="s">
        <v>58</v>
      </c>
      <c r="BC91" s="26">
        <f>AW91+AX91</f>
        <v>0</v>
      </c>
      <c r="BD91" s="26">
        <f>G91/(100-BE91)*100</f>
        <v>0</v>
      </c>
      <c r="BE91" s="26">
        <v>0</v>
      </c>
      <c r="BF91" s="26">
        <f>L91</f>
        <v>0</v>
      </c>
      <c r="BH91" s="26">
        <f>F91*AO91</f>
        <v>0</v>
      </c>
      <c r="BI91" s="26">
        <f>F91*AP91</f>
        <v>0</v>
      </c>
      <c r="BJ91" s="26">
        <f>F91*G91</f>
        <v>0</v>
      </c>
    </row>
    <row r="92" spans="1:62" ht="12.75">
      <c r="A92" s="3" t="s">
        <v>272</v>
      </c>
      <c r="B92" s="3" t="s">
        <v>47</v>
      </c>
      <c r="C92" s="3" t="s">
        <v>273</v>
      </c>
      <c r="D92" s="3" t="s">
        <v>274</v>
      </c>
      <c r="E92" s="3" t="s">
        <v>84</v>
      </c>
      <c r="F92" s="26">
        <v>14</v>
      </c>
      <c r="G92" s="26"/>
      <c r="H92" s="26">
        <f>F92*AO92</f>
        <v>0</v>
      </c>
      <c r="I92" s="26">
        <f>F92*AP92</f>
        <v>0</v>
      </c>
      <c r="J92" s="26">
        <f>F92*G92</f>
        <v>0</v>
      </c>
      <c r="K92" s="26">
        <v>0</v>
      </c>
      <c r="L92" s="26">
        <f>F92*K92</f>
        <v>0</v>
      </c>
      <c r="M92" s="27" t="s">
        <v>55</v>
      </c>
      <c r="Z92" s="26">
        <f>IF(AQ92="5",BJ92,0)</f>
        <v>0</v>
      </c>
      <c r="AB92" s="26">
        <f>IF(AQ92="1",BH92,0)</f>
        <v>0</v>
      </c>
      <c r="AC92" s="26">
        <f>IF(AQ92="1",BI92,0)</f>
        <v>0</v>
      </c>
      <c r="AD92" s="26">
        <f>IF(AQ92="7",BH92,0)</f>
        <v>0</v>
      </c>
      <c r="AE92" s="26">
        <f>IF(AQ92="7",BI92,0)</f>
        <v>0</v>
      </c>
      <c r="AF92" s="26">
        <f>IF(AQ92="2",BH92,0)</f>
        <v>0</v>
      </c>
      <c r="AG92" s="26">
        <f>IF(AQ92="2",BI92,0)</f>
        <v>0</v>
      </c>
      <c r="AH92" s="26">
        <f>IF(AQ92="0",BJ92,0)</f>
        <v>0</v>
      </c>
      <c r="AI92" s="18" t="s">
        <v>47</v>
      </c>
      <c r="AJ92" s="26">
        <f>IF(AN92=0,J92,0)</f>
        <v>0</v>
      </c>
      <c r="AK92" s="26">
        <f>IF(AN92=15,J92,0)</f>
        <v>0</v>
      </c>
      <c r="AL92" s="26">
        <f>IF(AN92=21,J92,0)</f>
        <v>0</v>
      </c>
      <c r="AN92" s="26">
        <v>21</v>
      </c>
      <c r="AO92" s="26">
        <f>G92*0</f>
        <v>0</v>
      </c>
      <c r="AP92" s="26">
        <f>G92*(1-0)</f>
        <v>0</v>
      </c>
      <c r="AQ92" s="27" t="s">
        <v>51</v>
      </c>
      <c r="AV92" s="26">
        <f>AW92+AX92</f>
        <v>0</v>
      </c>
      <c r="AW92" s="26">
        <f>F92*AO92</f>
        <v>0</v>
      </c>
      <c r="AX92" s="26">
        <f>F92*AP92</f>
        <v>0</v>
      </c>
      <c r="AY92" s="27" t="s">
        <v>264</v>
      </c>
      <c r="AZ92" s="27" t="s">
        <v>265</v>
      </c>
      <c r="BA92" s="18" t="s">
        <v>58</v>
      </c>
      <c r="BC92" s="26">
        <f>AW92+AX92</f>
        <v>0</v>
      </c>
      <c r="BD92" s="26">
        <f>G92/(100-BE92)*100</f>
        <v>0</v>
      </c>
      <c r="BE92" s="26">
        <v>0</v>
      </c>
      <c r="BF92" s="26">
        <f>L92</f>
        <v>0</v>
      </c>
      <c r="BH92" s="26">
        <f>F92*AO92</f>
        <v>0</v>
      </c>
      <c r="BI92" s="26">
        <f>F92*AP92</f>
        <v>0</v>
      </c>
      <c r="BJ92" s="26">
        <f>F92*G92</f>
        <v>0</v>
      </c>
    </row>
    <row r="93" spans="1:47" ht="12.75">
      <c r="A93" s="23"/>
      <c r="B93" s="24" t="s">
        <v>47</v>
      </c>
      <c r="C93" s="24" t="s">
        <v>275</v>
      </c>
      <c r="D93" s="24" t="s">
        <v>276</v>
      </c>
      <c r="E93" s="23" t="s">
        <v>4</v>
      </c>
      <c r="F93" s="23" t="s">
        <v>4</v>
      </c>
      <c r="G93" s="23"/>
      <c r="H93" s="25">
        <f>SUM(H94:H98)</f>
        <v>0</v>
      </c>
      <c r="I93" s="25">
        <f>SUM(I94:I98)</f>
        <v>0</v>
      </c>
      <c r="J93" s="25">
        <f>SUM(J94:J98)</f>
        <v>0</v>
      </c>
      <c r="K93" s="18"/>
      <c r="L93" s="25">
        <f>SUM(L94:L98)</f>
        <v>4.93001752</v>
      </c>
      <c r="M93" s="18"/>
      <c r="AI93" s="18" t="s">
        <v>47</v>
      </c>
      <c r="AS93" s="25">
        <f>SUM(AJ94:AJ98)</f>
        <v>0</v>
      </c>
      <c r="AT93" s="25">
        <f>SUM(AK94:AK98)</f>
        <v>0</v>
      </c>
      <c r="AU93" s="25">
        <f>SUM(AL94:AL98)</f>
        <v>0</v>
      </c>
    </row>
    <row r="94" spans="1:62" ht="12.75">
      <c r="A94" s="3" t="s">
        <v>277</v>
      </c>
      <c r="B94" s="3" t="s">
        <v>47</v>
      </c>
      <c r="C94" s="3" t="s">
        <v>278</v>
      </c>
      <c r="D94" s="3" t="s">
        <v>279</v>
      </c>
      <c r="E94" s="3" t="s">
        <v>54</v>
      </c>
      <c r="F94" s="26">
        <v>2.529</v>
      </c>
      <c r="G94" s="26"/>
      <c r="H94" s="26">
        <f>F94*AO94</f>
        <v>0</v>
      </c>
      <c r="I94" s="26">
        <f>F94*AP94</f>
        <v>0</v>
      </c>
      <c r="J94" s="26">
        <f>F94*G94</f>
        <v>0</v>
      </c>
      <c r="K94" s="26">
        <v>1.80128</v>
      </c>
      <c r="L94" s="26">
        <f>F94*K94</f>
        <v>4.55543712</v>
      </c>
      <c r="M94" s="27" t="s">
        <v>55</v>
      </c>
      <c r="Z94" s="26">
        <f>IF(AQ94="5",BJ94,0)</f>
        <v>0</v>
      </c>
      <c r="AB94" s="26">
        <f>IF(AQ94="1",BH94,0)</f>
        <v>0</v>
      </c>
      <c r="AC94" s="26">
        <f>IF(AQ94="1",BI94,0)</f>
        <v>0</v>
      </c>
      <c r="AD94" s="26">
        <f>IF(AQ94="7",BH94,0)</f>
        <v>0</v>
      </c>
      <c r="AE94" s="26">
        <f>IF(AQ94="7",BI94,0)</f>
        <v>0</v>
      </c>
      <c r="AF94" s="26">
        <f>IF(AQ94="2",BH94,0)</f>
        <v>0</v>
      </c>
      <c r="AG94" s="26">
        <f>IF(AQ94="2",BI94,0)</f>
        <v>0</v>
      </c>
      <c r="AH94" s="26">
        <f>IF(AQ94="0",BJ94,0)</f>
        <v>0</v>
      </c>
      <c r="AI94" s="18" t="s">
        <v>47</v>
      </c>
      <c r="AJ94" s="26">
        <f>IF(AN94=0,J94,0)</f>
        <v>0</v>
      </c>
      <c r="AK94" s="26">
        <f>IF(AN94=15,J94,0)</f>
        <v>0</v>
      </c>
      <c r="AL94" s="26">
        <f>IF(AN94=21,J94,0)</f>
        <v>0</v>
      </c>
      <c r="AN94" s="26">
        <v>21</v>
      </c>
      <c r="AO94" s="26">
        <f>G94*0.0386896452844616</f>
        <v>0</v>
      </c>
      <c r="AP94" s="26">
        <f>G94*(1-0.0386896452844616)</f>
        <v>0</v>
      </c>
      <c r="AQ94" s="27" t="s">
        <v>51</v>
      </c>
      <c r="AV94" s="26">
        <f>AW94+AX94</f>
        <v>0</v>
      </c>
      <c r="AW94" s="26">
        <f>F94*AO94</f>
        <v>0</v>
      </c>
      <c r="AX94" s="26">
        <f>F94*AP94</f>
        <v>0</v>
      </c>
      <c r="AY94" s="27" t="s">
        <v>280</v>
      </c>
      <c r="AZ94" s="27" t="s">
        <v>265</v>
      </c>
      <c r="BA94" s="18" t="s">
        <v>58</v>
      </c>
      <c r="BC94" s="26">
        <f>AW94+AX94</f>
        <v>0</v>
      </c>
      <c r="BD94" s="26">
        <f>G94/(100-BE94)*100</f>
        <v>0</v>
      </c>
      <c r="BE94" s="26">
        <v>0</v>
      </c>
      <c r="BF94" s="26">
        <f>L94</f>
        <v>4.55543712</v>
      </c>
      <c r="BH94" s="26">
        <f>F94*AO94</f>
        <v>0</v>
      </c>
      <c r="BI94" s="26">
        <f>F94*AP94</f>
        <v>0</v>
      </c>
      <c r="BJ94" s="26">
        <f>F94*G94</f>
        <v>0</v>
      </c>
    </row>
    <row r="95" spans="1:62" ht="12.75">
      <c r="A95" s="3" t="s">
        <v>281</v>
      </c>
      <c r="B95" s="3" t="s">
        <v>47</v>
      </c>
      <c r="C95" s="3" t="s">
        <v>282</v>
      </c>
      <c r="D95" s="3" t="s">
        <v>283</v>
      </c>
      <c r="E95" s="3" t="s">
        <v>133</v>
      </c>
      <c r="F95" s="26">
        <v>7</v>
      </c>
      <c r="G95" s="26"/>
      <c r="H95" s="26">
        <f>F95*AO95</f>
        <v>0</v>
      </c>
      <c r="I95" s="26">
        <f>F95*AP95</f>
        <v>0</v>
      </c>
      <c r="J95" s="26">
        <f>F95*G95</f>
        <v>0</v>
      </c>
      <c r="K95" s="26">
        <v>0</v>
      </c>
      <c r="L95" s="26">
        <f>F95*K95</f>
        <v>0</v>
      </c>
      <c r="M95" s="27" t="s">
        <v>55</v>
      </c>
      <c r="Z95" s="26">
        <f>IF(AQ95="5",BJ95,0)</f>
        <v>0</v>
      </c>
      <c r="AB95" s="26">
        <f>IF(AQ95="1",BH95,0)</f>
        <v>0</v>
      </c>
      <c r="AC95" s="26">
        <f>IF(AQ95="1",BI95,0)</f>
        <v>0</v>
      </c>
      <c r="AD95" s="26">
        <f>IF(AQ95="7",BH95,0)</f>
        <v>0</v>
      </c>
      <c r="AE95" s="26">
        <f>IF(AQ95="7",BI95,0)</f>
        <v>0</v>
      </c>
      <c r="AF95" s="26">
        <f>IF(AQ95="2",BH95,0)</f>
        <v>0</v>
      </c>
      <c r="AG95" s="26">
        <f>IF(AQ95="2",BI95,0)</f>
        <v>0</v>
      </c>
      <c r="AH95" s="26">
        <f>IF(AQ95="0",BJ95,0)</f>
        <v>0</v>
      </c>
      <c r="AI95" s="18" t="s">
        <v>47</v>
      </c>
      <c r="AJ95" s="26">
        <f>IF(AN95=0,J95,0)</f>
        <v>0</v>
      </c>
      <c r="AK95" s="26">
        <f>IF(AN95=15,J95,0)</f>
        <v>0</v>
      </c>
      <c r="AL95" s="26">
        <f>IF(AN95=21,J95,0)</f>
        <v>0</v>
      </c>
      <c r="AN95" s="26">
        <v>21</v>
      </c>
      <c r="AO95" s="26">
        <f>G95*0</f>
        <v>0</v>
      </c>
      <c r="AP95" s="26">
        <f>G95*(1-0)</f>
        <v>0</v>
      </c>
      <c r="AQ95" s="27" t="s">
        <v>51</v>
      </c>
      <c r="AV95" s="26">
        <f>AW95+AX95</f>
        <v>0</v>
      </c>
      <c r="AW95" s="26">
        <f>F95*AO95</f>
        <v>0</v>
      </c>
      <c r="AX95" s="26">
        <f>F95*AP95</f>
        <v>0</v>
      </c>
      <c r="AY95" s="27" t="s">
        <v>280</v>
      </c>
      <c r="AZ95" s="27" t="s">
        <v>265</v>
      </c>
      <c r="BA95" s="18" t="s">
        <v>58</v>
      </c>
      <c r="BC95" s="26">
        <f>AW95+AX95</f>
        <v>0</v>
      </c>
      <c r="BD95" s="26">
        <f>G95/(100-BE95)*100</f>
        <v>0</v>
      </c>
      <c r="BE95" s="26">
        <v>0</v>
      </c>
      <c r="BF95" s="26">
        <f>L95</f>
        <v>0</v>
      </c>
      <c r="BH95" s="26">
        <f>F95*AO95</f>
        <v>0</v>
      </c>
      <c r="BI95" s="26">
        <f>F95*AP95</f>
        <v>0</v>
      </c>
      <c r="BJ95" s="26">
        <f>F95*G95</f>
        <v>0</v>
      </c>
    </row>
    <row r="96" spans="1:62" ht="12.75">
      <c r="A96" s="3" t="s">
        <v>284</v>
      </c>
      <c r="B96" s="3" t="s">
        <v>47</v>
      </c>
      <c r="C96" s="3" t="s">
        <v>285</v>
      </c>
      <c r="D96" s="3" t="s">
        <v>286</v>
      </c>
      <c r="E96" s="3" t="s">
        <v>84</v>
      </c>
      <c r="F96" s="26">
        <v>0.36</v>
      </c>
      <c r="G96" s="26"/>
      <c r="H96" s="26">
        <f>F96*AO96</f>
        <v>0</v>
      </c>
      <c r="I96" s="26">
        <f>F96*AP96</f>
        <v>0</v>
      </c>
      <c r="J96" s="26">
        <f>F96*G96</f>
        <v>0</v>
      </c>
      <c r="K96" s="26">
        <v>0.07719</v>
      </c>
      <c r="L96" s="26">
        <f>F96*K96</f>
        <v>0.027788399999999998</v>
      </c>
      <c r="M96" s="27" t="s">
        <v>55</v>
      </c>
      <c r="Z96" s="26">
        <f>IF(AQ96="5",BJ96,0)</f>
        <v>0</v>
      </c>
      <c r="AB96" s="26">
        <f>IF(AQ96="1",BH96,0)</f>
        <v>0</v>
      </c>
      <c r="AC96" s="26">
        <f>IF(AQ96="1",BI96,0)</f>
        <v>0</v>
      </c>
      <c r="AD96" s="26">
        <f>IF(AQ96="7",BH96,0)</f>
        <v>0</v>
      </c>
      <c r="AE96" s="26">
        <f>IF(AQ96="7",BI96,0)</f>
        <v>0</v>
      </c>
      <c r="AF96" s="26">
        <f>IF(AQ96="2",BH96,0)</f>
        <v>0</v>
      </c>
      <c r="AG96" s="26">
        <f>IF(AQ96="2",BI96,0)</f>
        <v>0</v>
      </c>
      <c r="AH96" s="26">
        <f>IF(AQ96="0",BJ96,0)</f>
        <v>0</v>
      </c>
      <c r="AI96" s="18" t="s">
        <v>47</v>
      </c>
      <c r="AJ96" s="26">
        <f>IF(AN96=0,J96,0)</f>
        <v>0</v>
      </c>
      <c r="AK96" s="26">
        <f>IF(AN96=15,J96,0)</f>
        <v>0</v>
      </c>
      <c r="AL96" s="26">
        <f>IF(AN96=21,J96,0)</f>
        <v>0</v>
      </c>
      <c r="AN96" s="26">
        <v>21</v>
      </c>
      <c r="AO96" s="26">
        <f>G96*0.129689440993789</f>
        <v>0</v>
      </c>
      <c r="AP96" s="26">
        <f>G96*(1-0.129689440993789)</f>
        <v>0</v>
      </c>
      <c r="AQ96" s="27" t="s">
        <v>51</v>
      </c>
      <c r="AV96" s="26">
        <f>AW96+AX96</f>
        <v>0</v>
      </c>
      <c r="AW96" s="26">
        <f>F96*AO96</f>
        <v>0</v>
      </c>
      <c r="AX96" s="26">
        <f>F96*AP96</f>
        <v>0</v>
      </c>
      <c r="AY96" s="27" t="s">
        <v>280</v>
      </c>
      <c r="AZ96" s="27" t="s">
        <v>265</v>
      </c>
      <c r="BA96" s="18" t="s">
        <v>58</v>
      </c>
      <c r="BC96" s="26">
        <f>AW96+AX96</f>
        <v>0</v>
      </c>
      <c r="BD96" s="26">
        <f>G96/(100-BE96)*100</f>
        <v>0</v>
      </c>
      <c r="BE96" s="26">
        <v>0</v>
      </c>
      <c r="BF96" s="26">
        <f>L96</f>
        <v>0.027788399999999998</v>
      </c>
      <c r="BH96" s="26">
        <f>F96*AO96</f>
        <v>0</v>
      </c>
      <c r="BI96" s="26">
        <f>F96*AP96</f>
        <v>0</v>
      </c>
      <c r="BJ96" s="26">
        <f>F96*G96</f>
        <v>0</v>
      </c>
    </row>
    <row r="97" spans="1:62" ht="12.75">
      <c r="A97" s="3" t="s">
        <v>287</v>
      </c>
      <c r="B97" s="3" t="s">
        <v>47</v>
      </c>
      <c r="C97" s="3" t="s">
        <v>288</v>
      </c>
      <c r="D97" s="3" t="s">
        <v>289</v>
      </c>
      <c r="E97" s="3" t="s">
        <v>84</v>
      </c>
      <c r="F97" s="26">
        <v>3.24</v>
      </c>
      <c r="G97" s="26"/>
      <c r="H97" s="26">
        <f>F97*AO97</f>
        <v>0</v>
      </c>
      <c r="I97" s="26">
        <f>F97*AP97</f>
        <v>0</v>
      </c>
      <c r="J97" s="26">
        <f>F97*G97</f>
        <v>0</v>
      </c>
      <c r="K97" s="26">
        <v>0.063</v>
      </c>
      <c r="L97" s="26">
        <f>F97*K97</f>
        <v>0.20412000000000002</v>
      </c>
      <c r="M97" s="27" t="s">
        <v>55</v>
      </c>
      <c r="Z97" s="26">
        <f>IF(AQ97="5",BJ97,0)</f>
        <v>0</v>
      </c>
      <c r="AB97" s="26">
        <f>IF(AQ97="1",BH97,0)</f>
        <v>0</v>
      </c>
      <c r="AC97" s="26">
        <f>IF(AQ97="1",BI97,0)</f>
        <v>0</v>
      </c>
      <c r="AD97" s="26">
        <f>IF(AQ97="7",BH97,0)</f>
        <v>0</v>
      </c>
      <c r="AE97" s="26">
        <f>IF(AQ97="7",BI97,0)</f>
        <v>0</v>
      </c>
      <c r="AF97" s="26">
        <f>IF(AQ97="2",BH97,0)</f>
        <v>0</v>
      </c>
      <c r="AG97" s="26">
        <f>IF(AQ97="2",BI97,0)</f>
        <v>0</v>
      </c>
      <c r="AH97" s="26">
        <f>IF(AQ97="0",BJ97,0)</f>
        <v>0</v>
      </c>
      <c r="AI97" s="18" t="s">
        <v>47</v>
      </c>
      <c r="AJ97" s="26">
        <f>IF(AN97=0,J97,0)</f>
        <v>0</v>
      </c>
      <c r="AK97" s="26">
        <f>IF(AN97=15,J97,0)</f>
        <v>0</v>
      </c>
      <c r="AL97" s="26">
        <f>IF(AN97=21,J97,0)</f>
        <v>0</v>
      </c>
      <c r="AN97" s="26">
        <v>21</v>
      </c>
      <c r="AO97" s="26">
        <f>G97*0.0965922920892495</f>
        <v>0</v>
      </c>
      <c r="AP97" s="26">
        <f>G97*(1-0.0965922920892495)</f>
        <v>0</v>
      </c>
      <c r="AQ97" s="27" t="s">
        <v>51</v>
      </c>
      <c r="AV97" s="26">
        <f>AW97+AX97</f>
        <v>0</v>
      </c>
      <c r="AW97" s="26">
        <f>F97*AO97</f>
        <v>0</v>
      </c>
      <c r="AX97" s="26">
        <f>F97*AP97</f>
        <v>0</v>
      </c>
      <c r="AY97" s="27" t="s">
        <v>280</v>
      </c>
      <c r="AZ97" s="27" t="s">
        <v>265</v>
      </c>
      <c r="BA97" s="18" t="s">
        <v>58</v>
      </c>
      <c r="BC97" s="26">
        <f>AW97+AX97</f>
        <v>0</v>
      </c>
      <c r="BD97" s="26">
        <f>G97/(100-BE97)*100</f>
        <v>0</v>
      </c>
      <c r="BE97" s="26">
        <v>0</v>
      </c>
      <c r="BF97" s="26">
        <f>L97</f>
        <v>0.20412000000000002</v>
      </c>
      <c r="BH97" s="26">
        <f>F97*AO97</f>
        <v>0</v>
      </c>
      <c r="BI97" s="26">
        <f>F97*AP97</f>
        <v>0</v>
      </c>
      <c r="BJ97" s="26">
        <f>F97*G97</f>
        <v>0</v>
      </c>
    </row>
    <row r="98" spans="1:62" ht="12.75">
      <c r="A98" s="3" t="s">
        <v>290</v>
      </c>
      <c r="B98" s="3" t="s">
        <v>47</v>
      </c>
      <c r="C98" s="3" t="s">
        <v>291</v>
      </c>
      <c r="D98" s="3" t="s">
        <v>292</v>
      </c>
      <c r="E98" s="3" t="s">
        <v>84</v>
      </c>
      <c r="F98" s="26">
        <v>1.6</v>
      </c>
      <c r="G98" s="26"/>
      <c r="H98" s="26">
        <f>F98*AO98</f>
        <v>0</v>
      </c>
      <c r="I98" s="26">
        <f>F98*AP98</f>
        <v>0</v>
      </c>
      <c r="J98" s="26">
        <f>F98*G98</f>
        <v>0</v>
      </c>
      <c r="K98" s="26">
        <v>0.08917</v>
      </c>
      <c r="L98" s="26">
        <f>F98*K98</f>
        <v>0.142672</v>
      </c>
      <c r="M98" s="27" t="s">
        <v>55</v>
      </c>
      <c r="Z98" s="26">
        <f>IF(AQ98="5",BJ98,0)</f>
        <v>0</v>
      </c>
      <c r="AB98" s="26">
        <f>IF(AQ98="1",BH98,0)</f>
        <v>0</v>
      </c>
      <c r="AC98" s="26">
        <f>IF(AQ98="1",BI98,0)</f>
        <v>0</v>
      </c>
      <c r="AD98" s="26">
        <f>IF(AQ98="7",BH98,0)</f>
        <v>0</v>
      </c>
      <c r="AE98" s="26">
        <f>IF(AQ98="7",BI98,0)</f>
        <v>0</v>
      </c>
      <c r="AF98" s="26">
        <f>IF(AQ98="2",BH98,0)</f>
        <v>0</v>
      </c>
      <c r="AG98" s="26">
        <f>IF(AQ98="2",BI98,0)</f>
        <v>0</v>
      </c>
      <c r="AH98" s="26">
        <f>IF(AQ98="0",BJ98,0)</f>
        <v>0</v>
      </c>
      <c r="AI98" s="18" t="s">
        <v>47</v>
      </c>
      <c r="AJ98" s="26">
        <f>IF(AN98=0,J98,0)</f>
        <v>0</v>
      </c>
      <c r="AK98" s="26">
        <f>IF(AN98=15,J98,0)</f>
        <v>0</v>
      </c>
      <c r="AL98" s="26">
        <f>IF(AN98=21,J98,0)</f>
        <v>0</v>
      </c>
      <c r="AN98" s="26">
        <v>21</v>
      </c>
      <c r="AO98" s="26">
        <f>G98*0.120302375809935</f>
        <v>0</v>
      </c>
      <c r="AP98" s="26">
        <f>G98*(1-0.120302375809935)</f>
        <v>0</v>
      </c>
      <c r="AQ98" s="27" t="s">
        <v>51</v>
      </c>
      <c r="AV98" s="26">
        <f>AW98+AX98</f>
        <v>0</v>
      </c>
      <c r="AW98" s="26">
        <f>F98*AO98</f>
        <v>0</v>
      </c>
      <c r="AX98" s="26">
        <f>F98*AP98</f>
        <v>0</v>
      </c>
      <c r="AY98" s="27" t="s">
        <v>280</v>
      </c>
      <c r="AZ98" s="27" t="s">
        <v>265</v>
      </c>
      <c r="BA98" s="18" t="s">
        <v>58</v>
      </c>
      <c r="BC98" s="26">
        <f>AW98+AX98</f>
        <v>0</v>
      </c>
      <c r="BD98" s="26">
        <f>G98/(100-BE98)*100</f>
        <v>0</v>
      </c>
      <c r="BE98" s="26">
        <v>0</v>
      </c>
      <c r="BF98" s="26">
        <f>L98</f>
        <v>0.142672</v>
      </c>
      <c r="BH98" s="26">
        <f>F98*AO98</f>
        <v>0</v>
      </c>
      <c r="BI98" s="26">
        <f>F98*AP98</f>
        <v>0</v>
      </c>
      <c r="BJ98" s="26">
        <f>F98*G98</f>
        <v>0</v>
      </c>
    </row>
    <row r="99" spans="1:47" ht="12.75">
      <c r="A99" s="23"/>
      <c r="B99" s="24" t="s">
        <v>47</v>
      </c>
      <c r="C99" s="24" t="s">
        <v>293</v>
      </c>
      <c r="D99" s="24" t="s">
        <v>294</v>
      </c>
      <c r="E99" s="23" t="s">
        <v>4</v>
      </c>
      <c r="F99" s="23" t="s">
        <v>4</v>
      </c>
      <c r="G99" s="23"/>
      <c r="H99" s="25">
        <f>SUM(H100:H101)</f>
        <v>0</v>
      </c>
      <c r="I99" s="25">
        <f>SUM(I100:I101)</f>
        <v>0</v>
      </c>
      <c r="J99" s="25">
        <f>SUM(J100:J101)</f>
        <v>0</v>
      </c>
      <c r="K99" s="18"/>
      <c r="L99" s="25">
        <f>SUM(L100:L101)</f>
        <v>0.67482</v>
      </c>
      <c r="M99" s="18"/>
      <c r="AI99" s="18" t="s">
        <v>47</v>
      </c>
      <c r="AS99" s="25">
        <f>SUM(AJ100:AJ101)</f>
        <v>0</v>
      </c>
      <c r="AT99" s="25">
        <f>SUM(AK100:AK101)</f>
        <v>0</v>
      </c>
      <c r="AU99" s="25">
        <f>SUM(AL100:AL101)</f>
        <v>0</v>
      </c>
    </row>
    <row r="100" spans="1:62" ht="12.75">
      <c r="A100" s="3" t="s">
        <v>295</v>
      </c>
      <c r="B100" s="3" t="s">
        <v>47</v>
      </c>
      <c r="C100" s="3" t="s">
        <v>296</v>
      </c>
      <c r="D100" s="3" t="s">
        <v>297</v>
      </c>
      <c r="E100" s="3" t="s">
        <v>133</v>
      </c>
      <c r="F100" s="26">
        <v>12</v>
      </c>
      <c r="G100" s="26"/>
      <c r="H100" s="26">
        <f>F100*AO100</f>
        <v>0</v>
      </c>
      <c r="I100" s="26">
        <f>F100*AP100</f>
        <v>0</v>
      </c>
      <c r="J100" s="26">
        <f>F100*G100</f>
        <v>0</v>
      </c>
      <c r="K100" s="26">
        <v>0.03149</v>
      </c>
      <c r="L100" s="26">
        <f>F100*K100</f>
        <v>0.37788</v>
      </c>
      <c r="M100" s="27" t="s">
        <v>55</v>
      </c>
      <c r="Z100" s="26">
        <f>IF(AQ100="5",BJ100,0)</f>
        <v>0</v>
      </c>
      <c r="AB100" s="26">
        <f>IF(AQ100="1",BH100,0)</f>
        <v>0</v>
      </c>
      <c r="AC100" s="26">
        <f>IF(AQ100="1",BI100,0)</f>
        <v>0</v>
      </c>
      <c r="AD100" s="26">
        <f>IF(AQ100="7",BH100,0)</f>
        <v>0</v>
      </c>
      <c r="AE100" s="26">
        <f>IF(AQ100="7",BI100,0)</f>
        <v>0</v>
      </c>
      <c r="AF100" s="26">
        <f>IF(AQ100="2",BH100,0)</f>
        <v>0</v>
      </c>
      <c r="AG100" s="26">
        <f>IF(AQ100="2",BI100,0)</f>
        <v>0</v>
      </c>
      <c r="AH100" s="26">
        <f>IF(AQ100="0",BJ100,0)</f>
        <v>0</v>
      </c>
      <c r="AI100" s="18" t="s">
        <v>47</v>
      </c>
      <c r="AJ100" s="26">
        <f>IF(AN100=0,J100,0)</f>
        <v>0</v>
      </c>
      <c r="AK100" s="26">
        <f>IF(AN100=15,J100,0)</f>
        <v>0</v>
      </c>
      <c r="AL100" s="26">
        <f>IF(AN100=21,J100,0)</f>
        <v>0</v>
      </c>
      <c r="AN100" s="26">
        <v>21</v>
      </c>
      <c r="AO100" s="26">
        <f>G100*0.0436567164179104</f>
        <v>0</v>
      </c>
      <c r="AP100" s="26">
        <f>G100*(1-0.0436567164179104)</f>
        <v>0</v>
      </c>
      <c r="AQ100" s="27" t="s">
        <v>51</v>
      </c>
      <c r="AV100" s="26">
        <f>AW100+AX100</f>
        <v>0</v>
      </c>
      <c r="AW100" s="26">
        <f>F100*AO100</f>
        <v>0</v>
      </c>
      <c r="AX100" s="26">
        <f>F100*AP100</f>
        <v>0</v>
      </c>
      <c r="AY100" s="27" t="s">
        <v>298</v>
      </c>
      <c r="AZ100" s="27" t="s">
        <v>265</v>
      </c>
      <c r="BA100" s="18" t="s">
        <v>58</v>
      </c>
      <c r="BC100" s="26">
        <f>AW100+AX100</f>
        <v>0</v>
      </c>
      <c r="BD100" s="26">
        <f>G100/(100-BE100)*100</f>
        <v>0</v>
      </c>
      <c r="BE100" s="26">
        <v>0</v>
      </c>
      <c r="BF100" s="26">
        <f>L100</f>
        <v>0.37788</v>
      </c>
      <c r="BH100" s="26">
        <f>F100*AO100</f>
        <v>0</v>
      </c>
      <c r="BI100" s="26">
        <f>F100*AP100</f>
        <v>0</v>
      </c>
      <c r="BJ100" s="26">
        <f>F100*G100</f>
        <v>0</v>
      </c>
    </row>
    <row r="101" spans="1:62" ht="12.75">
      <c r="A101" s="3" t="s">
        <v>299</v>
      </c>
      <c r="B101" s="3" t="s">
        <v>47</v>
      </c>
      <c r="C101" s="3" t="s">
        <v>300</v>
      </c>
      <c r="D101" s="3" t="s">
        <v>301</v>
      </c>
      <c r="E101" s="3" t="s">
        <v>133</v>
      </c>
      <c r="F101" s="26">
        <v>6</v>
      </c>
      <c r="G101" s="26"/>
      <c r="H101" s="26">
        <f>F101*AO101</f>
        <v>0</v>
      </c>
      <c r="I101" s="26">
        <f>F101*AP101</f>
        <v>0</v>
      </c>
      <c r="J101" s="26">
        <f>F101*G101</f>
        <v>0</v>
      </c>
      <c r="K101" s="26">
        <v>0.04949</v>
      </c>
      <c r="L101" s="26">
        <f>F101*K101</f>
        <v>0.29694</v>
      </c>
      <c r="M101" s="27" t="s">
        <v>55</v>
      </c>
      <c r="Z101" s="26">
        <f>IF(AQ101="5",BJ101,0)</f>
        <v>0</v>
      </c>
      <c r="AB101" s="26">
        <f>IF(AQ101="1",BH101,0)</f>
        <v>0</v>
      </c>
      <c r="AC101" s="26">
        <f>IF(AQ101="1",BI101,0)</f>
        <v>0</v>
      </c>
      <c r="AD101" s="26">
        <f>IF(AQ101="7",BH101,0)</f>
        <v>0</v>
      </c>
      <c r="AE101" s="26">
        <f>IF(AQ101="7",BI101,0)</f>
        <v>0</v>
      </c>
      <c r="AF101" s="26">
        <f>IF(AQ101="2",BH101,0)</f>
        <v>0</v>
      </c>
      <c r="AG101" s="26">
        <f>IF(AQ101="2",BI101,0)</f>
        <v>0</v>
      </c>
      <c r="AH101" s="26">
        <f>IF(AQ101="0",BJ101,0)</f>
        <v>0</v>
      </c>
      <c r="AI101" s="18" t="s">
        <v>47</v>
      </c>
      <c r="AJ101" s="26">
        <f>IF(AN101=0,J101,0)</f>
        <v>0</v>
      </c>
      <c r="AK101" s="26">
        <f>IF(AN101=15,J101,0)</f>
        <v>0</v>
      </c>
      <c r="AL101" s="26">
        <f>IF(AN101=21,J101,0)</f>
        <v>0</v>
      </c>
      <c r="AN101" s="26">
        <v>21</v>
      </c>
      <c r="AO101" s="26">
        <f>G101*0.040695652173913</f>
        <v>0</v>
      </c>
      <c r="AP101" s="26">
        <f>G101*(1-0.040695652173913)</f>
        <v>0</v>
      </c>
      <c r="AQ101" s="27" t="s">
        <v>51</v>
      </c>
      <c r="AV101" s="26">
        <f>AW101+AX101</f>
        <v>0</v>
      </c>
      <c r="AW101" s="26">
        <f>F101*AO101</f>
        <v>0</v>
      </c>
      <c r="AX101" s="26">
        <f>F101*AP101</f>
        <v>0</v>
      </c>
      <c r="AY101" s="27" t="s">
        <v>298</v>
      </c>
      <c r="AZ101" s="27" t="s">
        <v>265</v>
      </c>
      <c r="BA101" s="18" t="s">
        <v>58</v>
      </c>
      <c r="BC101" s="26">
        <f>AW101+AX101</f>
        <v>0</v>
      </c>
      <c r="BD101" s="26">
        <f>G101/(100-BE101)*100</f>
        <v>0</v>
      </c>
      <c r="BE101" s="26">
        <v>0</v>
      </c>
      <c r="BF101" s="26">
        <f>L101</f>
        <v>0.29694</v>
      </c>
      <c r="BH101" s="26">
        <f>F101*AO101</f>
        <v>0</v>
      </c>
      <c r="BI101" s="26">
        <f>F101*AP101</f>
        <v>0</v>
      </c>
      <c r="BJ101" s="26">
        <f>F101*G101</f>
        <v>0</v>
      </c>
    </row>
    <row r="102" spans="1:47" ht="12.75">
      <c r="A102" s="23"/>
      <c r="B102" s="24" t="s">
        <v>47</v>
      </c>
      <c r="C102" s="24" t="s">
        <v>302</v>
      </c>
      <c r="D102" s="24" t="s">
        <v>303</v>
      </c>
      <c r="E102" s="23" t="s">
        <v>4</v>
      </c>
      <c r="F102" s="23" t="s">
        <v>4</v>
      </c>
      <c r="G102" s="23"/>
      <c r="H102" s="25">
        <f>SUM(H103:H103)</f>
        <v>0</v>
      </c>
      <c r="I102" s="25">
        <f>SUM(I103:I103)</f>
        <v>0</v>
      </c>
      <c r="J102" s="25">
        <f>SUM(J103:J103)</f>
        <v>0</v>
      </c>
      <c r="K102" s="18"/>
      <c r="L102" s="25">
        <f>SUM(L103:L103)</f>
        <v>0</v>
      </c>
      <c r="M102" s="18"/>
      <c r="AI102" s="18" t="s">
        <v>47</v>
      </c>
      <c r="AS102" s="25">
        <f>SUM(AJ103:AJ103)</f>
        <v>0</v>
      </c>
      <c r="AT102" s="25">
        <f>SUM(AK103:AK103)</f>
        <v>0</v>
      </c>
      <c r="AU102" s="25">
        <f>SUM(AL103:AL103)</f>
        <v>0</v>
      </c>
    </row>
    <row r="103" spans="1:62" ht="12.75">
      <c r="A103" s="3" t="s">
        <v>151</v>
      </c>
      <c r="B103" s="3" t="s">
        <v>47</v>
      </c>
      <c r="C103" s="3" t="s">
        <v>304</v>
      </c>
      <c r="D103" s="3" t="s">
        <v>305</v>
      </c>
      <c r="E103" s="3" t="s">
        <v>111</v>
      </c>
      <c r="F103" s="26">
        <v>12.28</v>
      </c>
      <c r="G103" s="26"/>
      <c r="H103" s="26">
        <f>F103*AO103</f>
        <v>0</v>
      </c>
      <c r="I103" s="26">
        <f>F103*AP103</f>
        <v>0</v>
      </c>
      <c r="J103" s="26">
        <f>F103*G103</f>
        <v>0</v>
      </c>
      <c r="K103" s="26">
        <v>0</v>
      </c>
      <c r="L103" s="26">
        <f>F103*K103</f>
        <v>0</v>
      </c>
      <c r="M103" s="27" t="s">
        <v>55</v>
      </c>
      <c r="Z103" s="26">
        <f>IF(AQ103="5",BJ103,0)</f>
        <v>0</v>
      </c>
      <c r="AB103" s="26">
        <f>IF(AQ103="1",BH103,0)</f>
        <v>0</v>
      </c>
      <c r="AC103" s="26">
        <f>IF(AQ103="1",BI103,0)</f>
        <v>0</v>
      </c>
      <c r="AD103" s="26">
        <f>IF(AQ103="7",BH103,0)</f>
        <v>0</v>
      </c>
      <c r="AE103" s="26">
        <f>IF(AQ103="7",BI103,0)</f>
        <v>0</v>
      </c>
      <c r="AF103" s="26">
        <f>IF(AQ103="2",BH103,0)</f>
        <v>0</v>
      </c>
      <c r="AG103" s="26">
        <f>IF(AQ103="2",BI103,0)</f>
        <v>0</v>
      </c>
      <c r="AH103" s="26">
        <f>IF(AQ103="0",BJ103,0)</f>
        <v>0</v>
      </c>
      <c r="AI103" s="18" t="s">
        <v>47</v>
      </c>
      <c r="AJ103" s="26">
        <f>IF(AN103=0,J103,0)</f>
        <v>0</v>
      </c>
      <c r="AK103" s="26">
        <f>IF(AN103=15,J103,0)</f>
        <v>0</v>
      </c>
      <c r="AL103" s="26">
        <f>IF(AN103=21,J103,0)</f>
        <v>0</v>
      </c>
      <c r="AN103" s="26">
        <v>21</v>
      </c>
      <c r="AO103" s="26">
        <f>G103*0</f>
        <v>0</v>
      </c>
      <c r="AP103" s="26">
        <f>G103*(1-0)</f>
        <v>0</v>
      </c>
      <c r="AQ103" s="27" t="s">
        <v>74</v>
      </c>
      <c r="AV103" s="26">
        <f>AW103+AX103</f>
        <v>0</v>
      </c>
      <c r="AW103" s="26">
        <f>F103*AO103</f>
        <v>0</v>
      </c>
      <c r="AX103" s="26">
        <f>F103*AP103</f>
        <v>0</v>
      </c>
      <c r="AY103" s="27" t="s">
        <v>306</v>
      </c>
      <c r="AZ103" s="27" t="s">
        <v>265</v>
      </c>
      <c r="BA103" s="18" t="s">
        <v>58</v>
      </c>
      <c r="BC103" s="26">
        <f>AW103+AX103</f>
        <v>0</v>
      </c>
      <c r="BD103" s="26">
        <f>G103/(100-BE103)*100</f>
        <v>0</v>
      </c>
      <c r="BE103" s="26">
        <v>0</v>
      </c>
      <c r="BF103" s="26">
        <f>L103</f>
        <v>0</v>
      </c>
      <c r="BH103" s="26">
        <f>F103*AO103</f>
        <v>0</v>
      </c>
      <c r="BI103" s="26">
        <f>F103*AP103</f>
        <v>0</v>
      </c>
      <c r="BJ103" s="26">
        <f>F103*G103</f>
        <v>0</v>
      </c>
    </row>
    <row r="104" spans="1:47" ht="12.75">
      <c r="A104" s="23"/>
      <c r="B104" s="24" t="s">
        <v>47</v>
      </c>
      <c r="C104" s="24" t="s">
        <v>307</v>
      </c>
      <c r="D104" s="24" t="s">
        <v>308</v>
      </c>
      <c r="E104" s="23" t="s">
        <v>4</v>
      </c>
      <c r="F104" s="23" t="s">
        <v>4</v>
      </c>
      <c r="G104" s="23"/>
      <c r="H104" s="25">
        <f>SUM(H105:H105)</f>
        <v>0</v>
      </c>
      <c r="I104" s="25">
        <f>SUM(I105:I105)</f>
        <v>0</v>
      </c>
      <c r="J104" s="25">
        <f>SUM(J105:J105)</f>
        <v>0</v>
      </c>
      <c r="K104" s="18"/>
      <c r="L104" s="25">
        <f>SUM(L105:L105)</f>
        <v>0</v>
      </c>
      <c r="M104" s="18"/>
      <c r="AI104" s="18" t="s">
        <v>47</v>
      </c>
      <c r="AS104" s="25">
        <f>SUM(AJ105:AJ105)</f>
        <v>0</v>
      </c>
      <c r="AT104" s="25">
        <f>SUM(AK105:AK105)</f>
        <v>0</v>
      </c>
      <c r="AU104" s="25">
        <f>SUM(AL105:AL105)</f>
        <v>0</v>
      </c>
    </row>
    <row r="105" spans="1:62" ht="12.75">
      <c r="A105" s="3" t="s">
        <v>309</v>
      </c>
      <c r="B105" s="3" t="s">
        <v>47</v>
      </c>
      <c r="C105" s="3" t="s">
        <v>310</v>
      </c>
      <c r="D105" s="3" t="s">
        <v>311</v>
      </c>
      <c r="E105" s="3" t="s">
        <v>156</v>
      </c>
      <c r="F105" s="26">
        <v>1</v>
      </c>
      <c r="G105" s="26"/>
      <c r="H105" s="26">
        <f>F105*AO105</f>
        <v>0</v>
      </c>
      <c r="I105" s="26">
        <f>F105*AP105</f>
        <v>0</v>
      </c>
      <c r="J105" s="26">
        <f>F105*G105</f>
        <v>0</v>
      </c>
      <c r="K105" s="26">
        <v>0</v>
      </c>
      <c r="L105" s="26">
        <f>F105*K105</f>
        <v>0</v>
      </c>
      <c r="M105" s="27" t="s">
        <v>55</v>
      </c>
      <c r="Z105" s="26">
        <f>IF(AQ105="5",BJ105,0)</f>
        <v>0</v>
      </c>
      <c r="AB105" s="26">
        <f>IF(AQ105="1",BH105,0)</f>
        <v>0</v>
      </c>
      <c r="AC105" s="26">
        <f>IF(AQ105="1",BI105,0)</f>
        <v>0</v>
      </c>
      <c r="AD105" s="26">
        <f>IF(AQ105="7",BH105,0)</f>
        <v>0</v>
      </c>
      <c r="AE105" s="26">
        <f>IF(AQ105="7",BI105,0)</f>
        <v>0</v>
      </c>
      <c r="AF105" s="26">
        <f>IF(AQ105="2",BH105,0)</f>
        <v>0</v>
      </c>
      <c r="AG105" s="26">
        <f>IF(AQ105="2",BI105,0)</f>
        <v>0</v>
      </c>
      <c r="AH105" s="26">
        <f>IF(AQ105="0",BJ105,0)</f>
        <v>0</v>
      </c>
      <c r="AI105" s="18" t="s">
        <v>47</v>
      </c>
      <c r="AJ105" s="26">
        <f>IF(AN105=0,J105,0)</f>
        <v>0</v>
      </c>
      <c r="AK105" s="26">
        <f>IF(AN105=15,J105,0)</f>
        <v>0</v>
      </c>
      <c r="AL105" s="26">
        <f>IF(AN105=21,J105,0)</f>
        <v>0</v>
      </c>
      <c r="AN105" s="26">
        <v>21</v>
      </c>
      <c r="AO105" s="26">
        <f>G105*0</f>
        <v>0</v>
      </c>
      <c r="AP105" s="26">
        <f>G105*(1-0)</f>
        <v>0</v>
      </c>
      <c r="AQ105" s="27" t="s">
        <v>59</v>
      </c>
      <c r="AV105" s="26">
        <f>AW105+AX105</f>
        <v>0</v>
      </c>
      <c r="AW105" s="26">
        <f>F105*AO105</f>
        <v>0</v>
      </c>
      <c r="AX105" s="26">
        <f>F105*AP105</f>
        <v>0</v>
      </c>
      <c r="AY105" s="27" t="s">
        <v>312</v>
      </c>
      <c r="AZ105" s="27" t="s">
        <v>265</v>
      </c>
      <c r="BA105" s="18" t="s">
        <v>58</v>
      </c>
      <c r="BC105" s="26">
        <f>AW105+AX105</f>
        <v>0</v>
      </c>
      <c r="BD105" s="26">
        <f>G105/(100-BE105)*100</f>
        <v>0</v>
      </c>
      <c r="BE105" s="26">
        <v>0</v>
      </c>
      <c r="BF105" s="26">
        <f>L105</f>
        <v>0</v>
      </c>
      <c r="BH105" s="26">
        <f>F105*AO105</f>
        <v>0</v>
      </c>
      <c r="BI105" s="26">
        <f>F105*AP105</f>
        <v>0</v>
      </c>
      <c r="BJ105" s="26">
        <f>F105*G105</f>
        <v>0</v>
      </c>
    </row>
    <row r="106" spans="1:47" ht="12.75">
      <c r="A106" s="23"/>
      <c r="B106" s="24" t="s">
        <v>47</v>
      </c>
      <c r="C106" s="24" t="s">
        <v>313</v>
      </c>
      <c r="D106" s="24" t="s">
        <v>314</v>
      </c>
      <c r="E106" s="23" t="s">
        <v>4</v>
      </c>
      <c r="F106" s="23" t="s">
        <v>4</v>
      </c>
      <c r="G106" s="23"/>
      <c r="H106" s="25">
        <f>SUM(H107:H107)</f>
        <v>0</v>
      </c>
      <c r="I106" s="25">
        <f>SUM(I107:I107)</f>
        <v>0</v>
      </c>
      <c r="J106" s="25">
        <f>SUM(J107:J107)</f>
        <v>0</v>
      </c>
      <c r="K106" s="18"/>
      <c r="L106" s="25">
        <f>SUM(L107:L107)</f>
        <v>0</v>
      </c>
      <c r="M106" s="18"/>
      <c r="AI106" s="18" t="s">
        <v>47</v>
      </c>
      <c r="AS106" s="25">
        <f>SUM(AJ107:AJ107)</f>
        <v>0</v>
      </c>
      <c r="AT106" s="25">
        <f>SUM(AK107:AK107)</f>
        <v>0</v>
      </c>
      <c r="AU106" s="25">
        <f>SUM(AL107:AL107)</f>
        <v>0</v>
      </c>
    </row>
    <row r="107" spans="1:62" ht="12.75">
      <c r="A107" s="3" t="s">
        <v>159</v>
      </c>
      <c r="B107" s="3" t="s">
        <v>47</v>
      </c>
      <c r="C107" s="3" t="s">
        <v>315</v>
      </c>
      <c r="D107" s="3" t="s">
        <v>316</v>
      </c>
      <c r="E107" s="3" t="s">
        <v>133</v>
      </c>
      <c r="F107" s="26">
        <v>1</v>
      </c>
      <c r="G107" s="26"/>
      <c r="H107" s="26">
        <f>F107*AO107</f>
        <v>0</v>
      </c>
      <c r="I107" s="26">
        <f>F107*AP107</f>
        <v>0</v>
      </c>
      <c r="J107" s="26">
        <f>F107*G107</f>
        <v>0</v>
      </c>
      <c r="K107" s="26">
        <v>0</v>
      </c>
      <c r="L107" s="26">
        <f>F107*K107</f>
        <v>0</v>
      </c>
      <c r="M107" s="27" t="s">
        <v>55</v>
      </c>
      <c r="Z107" s="26">
        <f>IF(AQ107="5",BJ107,0)</f>
        <v>0</v>
      </c>
      <c r="AB107" s="26">
        <f>IF(AQ107="1",BH107,0)</f>
        <v>0</v>
      </c>
      <c r="AC107" s="26">
        <f>IF(AQ107="1",BI107,0)</f>
        <v>0</v>
      </c>
      <c r="AD107" s="26">
        <f>IF(AQ107="7",BH107,0)</f>
        <v>0</v>
      </c>
      <c r="AE107" s="26">
        <f>IF(AQ107="7",BI107,0)</f>
        <v>0</v>
      </c>
      <c r="AF107" s="26">
        <f>IF(AQ107="2",BH107,0)</f>
        <v>0</v>
      </c>
      <c r="AG107" s="26">
        <f>IF(AQ107="2",BI107,0)</f>
        <v>0</v>
      </c>
      <c r="AH107" s="26">
        <f>IF(AQ107="0",BJ107,0)</f>
        <v>0</v>
      </c>
      <c r="AI107" s="18" t="s">
        <v>47</v>
      </c>
      <c r="AJ107" s="26">
        <f>IF(AN107=0,J107,0)</f>
        <v>0</v>
      </c>
      <c r="AK107" s="26">
        <f>IF(AN107=15,J107,0)</f>
        <v>0</v>
      </c>
      <c r="AL107" s="26">
        <f>IF(AN107=21,J107,0)</f>
        <v>0</v>
      </c>
      <c r="AN107" s="26">
        <v>21</v>
      </c>
      <c r="AO107" s="26">
        <f>G107*0</f>
        <v>0</v>
      </c>
      <c r="AP107" s="26">
        <f>G107*(1-0)</f>
        <v>0</v>
      </c>
      <c r="AQ107" s="27" t="s">
        <v>59</v>
      </c>
      <c r="AV107" s="26">
        <f>AW107+AX107</f>
        <v>0</v>
      </c>
      <c r="AW107" s="26">
        <f>F107*AO107</f>
        <v>0</v>
      </c>
      <c r="AX107" s="26">
        <f>F107*AP107</f>
        <v>0</v>
      </c>
      <c r="AY107" s="27" t="s">
        <v>317</v>
      </c>
      <c r="AZ107" s="27" t="s">
        <v>265</v>
      </c>
      <c r="BA107" s="18" t="s">
        <v>58</v>
      </c>
      <c r="BC107" s="26">
        <f>AW107+AX107</f>
        <v>0</v>
      </c>
      <c r="BD107" s="26">
        <f>G107/(100-BE107)*100</f>
        <v>0</v>
      </c>
      <c r="BE107" s="26">
        <v>0</v>
      </c>
      <c r="BF107" s="26">
        <f>L107</f>
        <v>0</v>
      </c>
      <c r="BH107" s="26">
        <f>F107*AO107</f>
        <v>0</v>
      </c>
      <c r="BI107" s="26">
        <f>F107*AP107</f>
        <v>0</v>
      </c>
      <c r="BJ107" s="26">
        <f>F107*G107</f>
        <v>0</v>
      </c>
    </row>
    <row r="108" spans="1:47" ht="12.75">
      <c r="A108" s="23"/>
      <c r="B108" s="24" t="s">
        <v>47</v>
      </c>
      <c r="C108" s="24" t="s">
        <v>318</v>
      </c>
      <c r="D108" s="24" t="s">
        <v>319</v>
      </c>
      <c r="E108" s="23" t="s">
        <v>4</v>
      </c>
      <c r="F108" s="23" t="s">
        <v>4</v>
      </c>
      <c r="G108" s="23"/>
      <c r="H108" s="25">
        <f>SUM(H109:H113)</f>
        <v>0</v>
      </c>
      <c r="I108" s="25">
        <f>SUM(I109:I113)</f>
        <v>0</v>
      </c>
      <c r="J108" s="25">
        <f>SUM(J109:J113)</f>
        <v>0</v>
      </c>
      <c r="K108" s="18"/>
      <c r="L108" s="25">
        <f>SUM(L109:L113)</f>
        <v>0</v>
      </c>
      <c r="M108" s="18"/>
      <c r="AI108" s="18" t="s">
        <v>47</v>
      </c>
      <c r="AS108" s="25">
        <f>SUM(AJ109:AJ113)</f>
        <v>0</v>
      </c>
      <c r="AT108" s="25">
        <f>SUM(AK109:AK113)</f>
        <v>0</v>
      </c>
      <c r="AU108" s="25">
        <f>SUM(AL109:AL113)</f>
        <v>0</v>
      </c>
    </row>
    <row r="109" spans="1:62" ht="12.75">
      <c r="A109" s="3" t="s">
        <v>169</v>
      </c>
      <c r="B109" s="3" t="s">
        <v>47</v>
      </c>
      <c r="C109" s="3" t="s">
        <v>320</v>
      </c>
      <c r="D109" s="3" t="s">
        <v>321</v>
      </c>
      <c r="E109" s="3" t="s">
        <v>156</v>
      </c>
      <c r="F109" s="26">
        <v>9</v>
      </c>
      <c r="G109" s="26"/>
      <c r="H109" s="26">
        <f>F109*AO109</f>
        <v>0</v>
      </c>
      <c r="I109" s="26">
        <f>F109*AP109</f>
        <v>0</v>
      </c>
      <c r="J109" s="26">
        <f>F109*G109</f>
        <v>0</v>
      </c>
      <c r="K109" s="26">
        <v>0</v>
      </c>
      <c r="L109" s="26">
        <f>F109*K109</f>
        <v>0</v>
      </c>
      <c r="M109" s="27" t="s">
        <v>55</v>
      </c>
      <c r="Z109" s="26">
        <f>IF(AQ109="5",BJ109,0)</f>
        <v>0</v>
      </c>
      <c r="AB109" s="26">
        <f>IF(AQ109="1",BH109,0)</f>
        <v>0</v>
      </c>
      <c r="AC109" s="26">
        <f>IF(AQ109="1",BI109,0)</f>
        <v>0</v>
      </c>
      <c r="AD109" s="26">
        <f>IF(AQ109="7",BH109,0)</f>
        <v>0</v>
      </c>
      <c r="AE109" s="26">
        <f>IF(AQ109="7",BI109,0)</f>
        <v>0</v>
      </c>
      <c r="AF109" s="26">
        <f>IF(AQ109="2",BH109,0)</f>
        <v>0</v>
      </c>
      <c r="AG109" s="26">
        <f>IF(AQ109="2",BI109,0)</f>
        <v>0</v>
      </c>
      <c r="AH109" s="26">
        <f>IF(AQ109="0",BJ109,0)</f>
        <v>0</v>
      </c>
      <c r="AI109" s="18" t="s">
        <v>47</v>
      </c>
      <c r="AJ109" s="26">
        <f>IF(AN109=0,J109,0)</f>
        <v>0</v>
      </c>
      <c r="AK109" s="26">
        <f>IF(AN109=15,J109,0)</f>
        <v>0</v>
      </c>
      <c r="AL109" s="26">
        <f>IF(AN109=21,J109,0)</f>
        <v>0</v>
      </c>
      <c r="AN109" s="26">
        <v>21</v>
      </c>
      <c r="AO109" s="26">
        <f>G109*0</f>
        <v>0</v>
      </c>
      <c r="AP109" s="26">
        <f>G109*(1-0)</f>
        <v>0</v>
      </c>
      <c r="AQ109" s="27" t="s">
        <v>59</v>
      </c>
      <c r="AV109" s="26">
        <f>AW109+AX109</f>
        <v>0</v>
      </c>
      <c r="AW109" s="26">
        <f>F109*AO109</f>
        <v>0</v>
      </c>
      <c r="AX109" s="26">
        <f>F109*AP109</f>
        <v>0</v>
      </c>
      <c r="AY109" s="27" t="s">
        <v>322</v>
      </c>
      <c r="AZ109" s="27" t="s">
        <v>265</v>
      </c>
      <c r="BA109" s="18" t="s">
        <v>58</v>
      </c>
      <c r="BC109" s="26">
        <f>AW109+AX109</f>
        <v>0</v>
      </c>
      <c r="BD109" s="26">
        <f>G109/(100-BE109)*100</f>
        <v>0</v>
      </c>
      <c r="BE109" s="26">
        <v>0</v>
      </c>
      <c r="BF109" s="26">
        <f>L109</f>
        <v>0</v>
      </c>
      <c r="BH109" s="26">
        <f>F109*AO109</f>
        <v>0</v>
      </c>
      <c r="BI109" s="26">
        <f>F109*AP109</f>
        <v>0</v>
      </c>
      <c r="BJ109" s="26">
        <f>F109*G109</f>
        <v>0</v>
      </c>
    </row>
    <row r="110" ht="12.75">
      <c r="D110" s="2" t="s">
        <v>323</v>
      </c>
    </row>
    <row r="111" spans="1:62" ht="12.75">
      <c r="A111" s="3" t="s">
        <v>324</v>
      </c>
      <c r="B111" s="3" t="s">
        <v>47</v>
      </c>
      <c r="C111" s="3" t="s">
        <v>325</v>
      </c>
      <c r="D111" s="3" t="s">
        <v>326</v>
      </c>
      <c r="E111" s="3" t="s">
        <v>156</v>
      </c>
      <c r="F111" s="26">
        <v>9</v>
      </c>
      <c r="G111" s="26"/>
      <c r="H111" s="26">
        <f>F111*AO111</f>
        <v>0</v>
      </c>
      <c r="I111" s="26">
        <f>F111*AP111</f>
        <v>0</v>
      </c>
      <c r="J111" s="26">
        <f>F111*G111</f>
        <v>0</v>
      </c>
      <c r="K111" s="26">
        <v>0</v>
      </c>
      <c r="L111" s="26">
        <f>F111*K111</f>
        <v>0</v>
      </c>
      <c r="M111" s="27" t="s">
        <v>55</v>
      </c>
      <c r="Z111" s="26">
        <f>IF(AQ111="5",BJ111,0)</f>
        <v>0</v>
      </c>
      <c r="AB111" s="26">
        <f>IF(AQ111="1",BH111,0)</f>
        <v>0</v>
      </c>
      <c r="AC111" s="26">
        <f>IF(AQ111="1",BI111,0)</f>
        <v>0</v>
      </c>
      <c r="AD111" s="26">
        <f>IF(AQ111="7",BH111,0)</f>
        <v>0</v>
      </c>
      <c r="AE111" s="26">
        <f>IF(AQ111="7",BI111,0)</f>
        <v>0</v>
      </c>
      <c r="AF111" s="26">
        <f>IF(AQ111="2",BH111,0)</f>
        <v>0</v>
      </c>
      <c r="AG111" s="26">
        <f>IF(AQ111="2",BI111,0)</f>
        <v>0</v>
      </c>
      <c r="AH111" s="26">
        <f>IF(AQ111="0",BJ111,0)</f>
        <v>0</v>
      </c>
      <c r="AI111" s="18" t="s">
        <v>47</v>
      </c>
      <c r="AJ111" s="26">
        <f>IF(AN111=0,J111,0)</f>
        <v>0</v>
      </c>
      <c r="AK111" s="26">
        <f>IF(AN111=15,J111,0)</f>
        <v>0</v>
      </c>
      <c r="AL111" s="26">
        <f>IF(AN111=21,J111,0)</f>
        <v>0</v>
      </c>
      <c r="AN111" s="26">
        <v>21</v>
      </c>
      <c r="AO111" s="26">
        <f>G111*0</f>
        <v>0</v>
      </c>
      <c r="AP111" s="26">
        <f>G111*(1-0)</f>
        <v>0</v>
      </c>
      <c r="AQ111" s="27" t="s">
        <v>59</v>
      </c>
      <c r="AV111" s="26">
        <f>AW111+AX111</f>
        <v>0</v>
      </c>
      <c r="AW111" s="26">
        <f>F111*AO111</f>
        <v>0</v>
      </c>
      <c r="AX111" s="26">
        <f>F111*AP111</f>
        <v>0</v>
      </c>
      <c r="AY111" s="27" t="s">
        <v>322</v>
      </c>
      <c r="AZ111" s="27" t="s">
        <v>265</v>
      </c>
      <c r="BA111" s="18" t="s">
        <v>58</v>
      </c>
      <c r="BC111" s="26">
        <f>AW111+AX111</f>
        <v>0</v>
      </c>
      <c r="BD111" s="26">
        <f>G111/(100-BE111)*100</f>
        <v>0</v>
      </c>
      <c r="BE111" s="26">
        <v>0</v>
      </c>
      <c r="BF111" s="26">
        <f>L111</f>
        <v>0</v>
      </c>
      <c r="BH111" s="26">
        <f>F111*AO111</f>
        <v>0</v>
      </c>
      <c r="BI111" s="26">
        <f>F111*AP111</f>
        <v>0</v>
      </c>
      <c r="BJ111" s="26">
        <f>F111*G111</f>
        <v>0</v>
      </c>
    </row>
    <row r="112" ht="12.75">
      <c r="D112" s="2" t="s">
        <v>327</v>
      </c>
    </row>
    <row r="113" spans="1:62" ht="12.75">
      <c r="A113" s="3" t="s">
        <v>328</v>
      </c>
      <c r="B113" s="3" t="s">
        <v>47</v>
      </c>
      <c r="C113" s="3" t="s">
        <v>329</v>
      </c>
      <c r="D113" s="3" t="s">
        <v>330</v>
      </c>
      <c r="E113" s="3" t="s">
        <v>84</v>
      </c>
      <c r="F113" s="26">
        <v>4</v>
      </c>
      <c r="G113" s="26"/>
      <c r="H113" s="26">
        <f>F113*AO113</f>
        <v>0</v>
      </c>
      <c r="I113" s="26">
        <f>F113*AP113</f>
        <v>0</v>
      </c>
      <c r="J113" s="26">
        <f>F113*G113</f>
        <v>0</v>
      </c>
      <c r="K113" s="26">
        <v>0</v>
      </c>
      <c r="L113" s="26">
        <f>F113*K113</f>
        <v>0</v>
      </c>
      <c r="M113" s="27" t="s">
        <v>55</v>
      </c>
      <c r="Z113" s="26">
        <f>IF(AQ113="5",BJ113,0)</f>
        <v>0</v>
      </c>
      <c r="AB113" s="26">
        <f>IF(AQ113="1",BH113,0)</f>
        <v>0</v>
      </c>
      <c r="AC113" s="26">
        <f>IF(AQ113="1",BI113,0)</f>
        <v>0</v>
      </c>
      <c r="AD113" s="26">
        <f>IF(AQ113="7",BH113,0)</f>
        <v>0</v>
      </c>
      <c r="AE113" s="26">
        <f>IF(AQ113="7",BI113,0)</f>
        <v>0</v>
      </c>
      <c r="AF113" s="26">
        <f>IF(AQ113="2",BH113,0)</f>
        <v>0</v>
      </c>
      <c r="AG113" s="26">
        <f>IF(AQ113="2",BI113,0)</f>
        <v>0</v>
      </c>
      <c r="AH113" s="26">
        <f>IF(AQ113="0",BJ113,0)</f>
        <v>0</v>
      </c>
      <c r="AI113" s="18" t="s">
        <v>47</v>
      </c>
      <c r="AJ113" s="26">
        <f>IF(AN113=0,J113,0)</f>
        <v>0</v>
      </c>
      <c r="AK113" s="26">
        <f>IF(AN113=15,J113,0)</f>
        <v>0</v>
      </c>
      <c r="AL113" s="26">
        <f>IF(AN113=21,J113,0)</f>
        <v>0</v>
      </c>
      <c r="AN113" s="26">
        <v>21</v>
      </c>
      <c r="AO113" s="26">
        <f>G113*0</f>
        <v>0</v>
      </c>
      <c r="AP113" s="26">
        <f>G113*(1-0)</f>
        <v>0</v>
      </c>
      <c r="AQ113" s="27" t="s">
        <v>59</v>
      </c>
      <c r="AV113" s="26">
        <f>AW113+AX113</f>
        <v>0</v>
      </c>
      <c r="AW113" s="26">
        <f>F113*AO113</f>
        <v>0</v>
      </c>
      <c r="AX113" s="26">
        <f>F113*AP113</f>
        <v>0</v>
      </c>
      <c r="AY113" s="27" t="s">
        <v>322</v>
      </c>
      <c r="AZ113" s="27" t="s">
        <v>265</v>
      </c>
      <c r="BA113" s="18" t="s">
        <v>58</v>
      </c>
      <c r="BC113" s="26">
        <f>AW113+AX113</f>
        <v>0</v>
      </c>
      <c r="BD113" s="26">
        <f>G113/(100-BE113)*100</f>
        <v>0</v>
      </c>
      <c r="BE113" s="26">
        <v>0</v>
      </c>
      <c r="BF113" s="26">
        <f>L113</f>
        <v>0</v>
      </c>
      <c r="BH113" s="26">
        <f>F113*AO113</f>
        <v>0</v>
      </c>
      <c r="BI113" s="26">
        <f>F113*AP113</f>
        <v>0</v>
      </c>
      <c r="BJ113" s="26">
        <f>F113*G113</f>
        <v>0</v>
      </c>
    </row>
    <row r="114" spans="1:47" ht="12.75">
      <c r="A114" s="23"/>
      <c r="B114" s="24" t="s">
        <v>47</v>
      </c>
      <c r="C114" s="24" t="s">
        <v>331</v>
      </c>
      <c r="D114" s="24" t="s">
        <v>332</v>
      </c>
      <c r="E114" s="23" t="s">
        <v>4</v>
      </c>
      <c r="F114" s="23" t="s">
        <v>4</v>
      </c>
      <c r="G114" s="23"/>
      <c r="H114" s="25">
        <f>SUM(H115:H118)</f>
        <v>0</v>
      </c>
      <c r="I114" s="25">
        <f>SUM(I115:I118)</f>
        <v>0</v>
      </c>
      <c r="J114" s="25">
        <f>SUM(J115:J118)</f>
        <v>0</v>
      </c>
      <c r="K114" s="18"/>
      <c r="L114" s="25">
        <f>SUM(L115:L118)</f>
        <v>0</v>
      </c>
      <c r="M114" s="18"/>
      <c r="AI114" s="18" t="s">
        <v>47</v>
      </c>
      <c r="AS114" s="25">
        <f>SUM(AJ115:AJ118)</f>
        <v>0</v>
      </c>
      <c r="AT114" s="25">
        <f>SUM(AK115:AK118)</f>
        <v>0</v>
      </c>
      <c r="AU114" s="25">
        <f>SUM(AL115:AL118)</f>
        <v>0</v>
      </c>
    </row>
    <row r="115" spans="1:62" ht="12.75">
      <c r="A115" s="3" t="s">
        <v>333</v>
      </c>
      <c r="B115" s="3" t="s">
        <v>47</v>
      </c>
      <c r="C115" s="3" t="s">
        <v>334</v>
      </c>
      <c r="D115" s="3" t="s">
        <v>335</v>
      </c>
      <c r="E115" s="3" t="s">
        <v>111</v>
      </c>
      <c r="F115" s="26">
        <v>4.93</v>
      </c>
      <c r="G115" s="26"/>
      <c r="H115" s="26">
        <f>F115*AO115</f>
        <v>0</v>
      </c>
      <c r="I115" s="26">
        <f>F115*AP115</f>
        <v>0</v>
      </c>
      <c r="J115" s="26">
        <f>F115*G115</f>
        <v>0</v>
      </c>
      <c r="K115" s="26">
        <v>0</v>
      </c>
      <c r="L115" s="26">
        <f>F115*K115</f>
        <v>0</v>
      </c>
      <c r="M115" s="27" t="s">
        <v>55</v>
      </c>
      <c r="Z115" s="26">
        <f>IF(AQ115="5",BJ115,0)</f>
        <v>0</v>
      </c>
      <c r="AB115" s="26">
        <f>IF(AQ115="1",BH115,0)</f>
        <v>0</v>
      </c>
      <c r="AC115" s="26">
        <f>IF(AQ115="1",BI115,0)</f>
        <v>0</v>
      </c>
      <c r="AD115" s="26">
        <f>IF(AQ115="7",BH115,0)</f>
        <v>0</v>
      </c>
      <c r="AE115" s="26">
        <f>IF(AQ115="7",BI115,0)</f>
        <v>0</v>
      </c>
      <c r="AF115" s="26">
        <f>IF(AQ115="2",BH115,0)</f>
        <v>0</v>
      </c>
      <c r="AG115" s="26">
        <f>IF(AQ115="2",BI115,0)</f>
        <v>0</v>
      </c>
      <c r="AH115" s="26">
        <f>IF(AQ115="0",BJ115,0)</f>
        <v>0</v>
      </c>
      <c r="AI115" s="18" t="s">
        <v>47</v>
      </c>
      <c r="AJ115" s="26">
        <f>IF(AN115=0,J115,0)</f>
        <v>0</v>
      </c>
      <c r="AK115" s="26">
        <f>IF(AN115=15,J115,0)</f>
        <v>0</v>
      </c>
      <c r="AL115" s="26">
        <f>IF(AN115=21,J115,0)</f>
        <v>0</v>
      </c>
      <c r="AN115" s="26">
        <v>21</v>
      </c>
      <c r="AO115" s="26">
        <f>G115*0</f>
        <v>0</v>
      </c>
      <c r="AP115" s="26">
        <f>G115*(1-0)</f>
        <v>0</v>
      </c>
      <c r="AQ115" s="27" t="s">
        <v>74</v>
      </c>
      <c r="AV115" s="26">
        <f>AW115+AX115</f>
        <v>0</v>
      </c>
      <c r="AW115" s="26">
        <f>F115*AO115</f>
        <v>0</v>
      </c>
      <c r="AX115" s="26">
        <f>F115*AP115</f>
        <v>0</v>
      </c>
      <c r="AY115" s="27" t="s">
        <v>336</v>
      </c>
      <c r="AZ115" s="27" t="s">
        <v>265</v>
      </c>
      <c r="BA115" s="18" t="s">
        <v>58</v>
      </c>
      <c r="BC115" s="26">
        <f>AW115+AX115</f>
        <v>0</v>
      </c>
      <c r="BD115" s="26">
        <f>G115/(100-BE115)*100</f>
        <v>0</v>
      </c>
      <c r="BE115" s="26">
        <v>0</v>
      </c>
      <c r="BF115" s="26">
        <f>L115</f>
        <v>0</v>
      </c>
      <c r="BH115" s="26">
        <f>F115*AO115</f>
        <v>0</v>
      </c>
      <c r="BI115" s="26">
        <f>F115*AP115</f>
        <v>0</v>
      </c>
      <c r="BJ115" s="26">
        <f>F115*G115</f>
        <v>0</v>
      </c>
    </row>
    <row r="116" spans="1:62" ht="12.75">
      <c r="A116" s="3" t="s">
        <v>337</v>
      </c>
      <c r="B116" s="3" t="s">
        <v>47</v>
      </c>
      <c r="C116" s="3" t="s">
        <v>338</v>
      </c>
      <c r="D116" s="3" t="s">
        <v>339</v>
      </c>
      <c r="E116" s="3" t="s">
        <v>111</v>
      </c>
      <c r="F116" s="26">
        <v>4.93</v>
      </c>
      <c r="G116" s="26"/>
      <c r="H116" s="26">
        <f>F116*AO116</f>
        <v>0</v>
      </c>
      <c r="I116" s="26">
        <f>F116*AP116</f>
        <v>0</v>
      </c>
      <c r="J116" s="26">
        <f>F116*G116</f>
        <v>0</v>
      </c>
      <c r="K116" s="26">
        <v>0</v>
      </c>
      <c r="L116" s="26">
        <f>F116*K116</f>
        <v>0</v>
      </c>
      <c r="M116" s="27" t="s">
        <v>55</v>
      </c>
      <c r="Z116" s="26">
        <f>IF(AQ116="5",BJ116,0)</f>
        <v>0</v>
      </c>
      <c r="AB116" s="26">
        <f>IF(AQ116="1",BH116,0)</f>
        <v>0</v>
      </c>
      <c r="AC116" s="26">
        <f>IF(AQ116="1",BI116,0)</f>
        <v>0</v>
      </c>
      <c r="AD116" s="26">
        <f>IF(AQ116="7",BH116,0)</f>
        <v>0</v>
      </c>
      <c r="AE116" s="26">
        <f>IF(AQ116="7",BI116,0)</f>
        <v>0</v>
      </c>
      <c r="AF116" s="26">
        <f>IF(AQ116="2",BH116,0)</f>
        <v>0</v>
      </c>
      <c r="AG116" s="26">
        <f>IF(AQ116="2",BI116,0)</f>
        <v>0</v>
      </c>
      <c r="AH116" s="26">
        <f>IF(AQ116="0",BJ116,0)</f>
        <v>0</v>
      </c>
      <c r="AI116" s="18" t="s">
        <v>47</v>
      </c>
      <c r="AJ116" s="26">
        <f>IF(AN116=0,J116,0)</f>
        <v>0</v>
      </c>
      <c r="AK116" s="26">
        <f>IF(AN116=15,J116,0)</f>
        <v>0</v>
      </c>
      <c r="AL116" s="26">
        <f>IF(AN116=21,J116,0)</f>
        <v>0</v>
      </c>
      <c r="AN116" s="26">
        <v>21</v>
      </c>
      <c r="AO116" s="26">
        <f>G116*0</f>
        <v>0</v>
      </c>
      <c r="AP116" s="26">
        <f>G116*(1-0)</f>
        <v>0</v>
      </c>
      <c r="AQ116" s="27" t="s">
        <v>74</v>
      </c>
      <c r="AV116" s="26">
        <f>AW116+AX116</f>
        <v>0</v>
      </c>
      <c r="AW116" s="26">
        <f>F116*AO116</f>
        <v>0</v>
      </c>
      <c r="AX116" s="26">
        <f>F116*AP116</f>
        <v>0</v>
      </c>
      <c r="AY116" s="27" t="s">
        <v>336</v>
      </c>
      <c r="AZ116" s="27" t="s">
        <v>265</v>
      </c>
      <c r="BA116" s="18" t="s">
        <v>58</v>
      </c>
      <c r="BC116" s="26">
        <f>AW116+AX116</f>
        <v>0</v>
      </c>
      <c r="BD116" s="26">
        <f>G116/(100-BE116)*100</f>
        <v>0</v>
      </c>
      <c r="BE116" s="26">
        <v>0</v>
      </c>
      <c r="BF116" s="26">
        <f>L116</f>
        <v>0</v>
      </c>
      <c r="BH116" s="26">
        <f>F116*AO116</f>
        <v>0</v>
      </c>
      <c r="BI116" s="26">
        <f>F116*AP116</f>
        <v>0</v>
      </c>
      <c r="BJ116" s="26">
        <f>F116*G116</f>
        <v>0</v>
      </c>
    </row>
    <row r="117" spans="1:62" ht="12.75">
      <c r="A117" s="3" t="s">
        <v>340</v>
      </c>
      <c r="B117" s="3" t="s">
        <v>47</v>
      </c>
      <c r="C117" s="3" t="s">
        <v>341</v>
      </c>
      <c r="D117" s="3" t="s">
        <v>342</v>
      </c>
      <c r="E117" s="3" t="s">
        <v>111</v>
      </c>
      <c r="F117" s="26">
        <v>44.37</v>
      </c>
      <c r="G117" s="26"/>
      <c r="H117" s="26">
        <f>F117*AO117</f>
        <v>0</v>
      </c>
      <c r="I117" s="26">
        <f>F117*AP117</f>
        <v>0</v>
      </c>
      <c r="J117" s="26">
        <f>F117*G117</f>
        <v>0</v>
      </c>
      <c r="K117" s="26">
        <v>0</v>
      </c>
      <c r="L117" s="26">
        <f>F117*K117</f>
        <v>0</v>
      </c>
      <c r="M117" s="27" t="s">
        <v>55</v>
      </c>
      <c r="Z117" s="26">
        <f>IF(AQ117="5",BJ117,0)</f>
        <v>0</v>
      </c>
      <c r="AB117" s="26">
        <f>IF(AQ117="1",BH117,0)</f>
        <v>0</v>
      </c>
      <c r="AC117" s="26">
        <f>IF(AQ117="1",BI117,0)</f>
        <v>0</v>
      </c>
      <c r="AD117" s="26">
        <f>IF(AQ117="7",BH117,0)</f>
        <v>0</v>
      </c>
      <c r="AE117" s="26">
        <f>IF(AQ117="7",BI117,0)</f>
        <v>0</v>
      </c>
      <c r="AF117" s="26">
        <f>IF(AQ117="2",BH117,0)</f>
        <v>0</v>
      </c>
      <c r="AG117" s="26">
        <f>IF(AQ117="2",BI117,0)</f>
        <v>0</v>
      </c>
      <c r="AH117" s="26">
        <f>IF(AQ117="0",BJ117,0)</f>
        <v>0</v>
      </c>
      <c r="AI117" s="18" t="s">
        <v>47</v>
      </c>
      <c r="AJ117" s="26">
        <f>IF(AN117=0,J117,0)</f>
        <v>0</v>
      </c>
      <c r="AK117" s="26">
        <f>IF(AN117=15,J117,0)</f>
        <v>0</v>
      </c>
      <c r="AL117" s="26">
        <f>IF(AN117=21,J117,0)</f>
        <v>0</v>
      </c>
      <c r="AN117" s="26">
        <v>21</v>
      </c>
      <c r="AO117" s="26">
        <f>G117*0</f>
        <v>0</v>
      </c>
      <c r="AP117" s="26">
        <f>G117*(1-0)</f>
        <v>0</v>
      </c>
      <c r="AQ117" s="27" t="s">
        <v>74</v>
      </c>
      <c r="AV117" s="26">
        <f>AW117+AX117</f>
        <v>0</v>
      </c>
      <c r="AW117" s="26">
        <f>F117*AO117</f>
        <v>0</v>
      </c>
      <c r="AX117" s="26">
        <f>F117*AP117</f>
        <v>0</v>
      </c>
      <c r="AY117" s="27" t="s">
        <v>336</v>
      </c>
      <c r="AZ117" s="27" t="s">
        <v>265</v>
      </c>
      <c r="BA117" s="18" t="s">
        <v>58</v>
      </c>
      <c r="BC117" s="26">
        <f>AW117+AX117</f>
        <v>0</v>
      </c>
      <c r="BD117" s="26">
        <f>G117/(100-BE117)*100</f>
        <v>0</v>
      </c>
      <c r="BE117" s="26">
        <v>0</v>
      </c>
      <c r="BF117" s="26">
        <f>L117</f>
        <v>0</v>
      </c>
      <c r="BH117" s="26">
        <f>F117*AO117</f>
        <v>0</v>
      </c>
      <c r="BI117" s="26">
        <f>F117*AP117</f>
        <v>0</v>
      </c>
      <c r="BJ117" s="26">
        <f>F117*G117</f>
        <v>0</v>
      </c>
    </row>
    <row r="118" spans="1:62" ht="12.75">
      <c r="A118" s="3" t="s">
        <v>343</v>
      </c>
      <c r="B118" s="3" t="s">
        <v>47</v>
      </c>
      <c r="C118" s="3" t="s">
        <v>344</v>
      </c>
      <c r="D118" s="3" t="s">
        <v>345</v>
      </c>
      <c r="E118" s="3" t="s">
        <v>111</v>
      </c>
      <c r="F118" s="26">
        <v>4.93</v>
      </c>
      <c r="G118" s="26"/>
      <c r="H118" s="26">
        <f>F118*AO118</f>
        <v>0</v>
      </c>
      <c r="I118" s="26">
        <f>F118*AP118</f>
        <v>0</v>
      </c>
      <c r="J118" s="26">
        <f>F118*G118</f>
        <v>0</v>
      </c>
      <c r="K118" s="26">
        <v>0</v>
      </c>
      <c r="L118" s="26">
        <f>F118*K118</f>
        <v>0</v>
      </c>
      <c r="M118" s="27" t="s">
        <v>55</v>
      </c>
      <c r="Z118" s="26">
        <f>IF(AQ118="5",BJ118,0)</f>
        <v>0</v>
      </c>
      <c r="AB118" s="26">
        <f>IF(AQ118="1",BH118,0)</f>
        <v>0</v>
      </c>
      <c r="AC118" s="26">
        <f>IF(AQ118="1",BI118,0)</f>
        <v>0</v>
      </c>
      <c r="AD118" s="26">
        <f>IF(AQ118="7",BH118,0)</f>
        <v>0</v>
      </c>
      <c r="AE118" s="26">
        <f>IF(AQ118="7",BI118,0)</f>
        <v>0</v>
      </c>
      <c r="AF118" s="26">
        <f>IF(AQ118="2",BH118,0)</f>
        <v>0</v>
      </c>
      <c r="AG118" s="26">
        <f>IF(AQ118="2",BI118,0)</f>
        <v>0</v>
      </c>
      <c r="AH118" s="26">
        <f>IF(AQ118="0",BJ118,0)</f>
        <v>0</v>
      </c>
      <c r="AI118" s="18" t="s">
        <v>47</v>
      </c>
      <c r="AJ118" s="26">
        <f>IF(AN118=0,J118,0)</f>
        <v>0</v>
      </c>
      <c r="AK118" s="26">
        <f>IF(AN118=15,J118,0)</f>
        <v>0</v>
      </c>
      <c r="AL118" s="26">
        <f>IF(AN118=21,J118,0)</f>
        <v>0</v>
      </c>
      <c r="AN118" s="26">
        <v>21</v>
      </c>
      <c r="AO118" s="26">
        <f>G118*0</f>
        <v>0</v>
      </c>
      <c r="AP118" s="26">
        <f>G118*(1-0)</f>
        <v>0</v>
      </c>
      <c r="AQ118" s="27" t="s">
        <v>74</v>
      </c>
      <c r="AV118" s="26">
        <f>AW118+AX118</f>
        <v>0</v>
      </c>
      <c r="AW118" s="26">
        <f>F118*AO118</f>
        <v>0</v>
      </c>
      <c r="AX118" s="26">
        <f>F118*AP118</f>
        <v>0</v>
      </c>
      <c r="AY118" s="27" t="s">
        <v>336</v>
      </c>
      <c r="AZ118" s="27" t="s">
        <v>265</v>
      </c>
      <c r="BA118" s="18" t="s">
        <v>58</v>
      </c>
      <c r="BC118" s="26">
        <f>AW118+AX118</f>
        <v>0</v>
      </c>
      <c r="BD118" s="26">
        <f>G118/(100-BE118)*100</f>
        <v>0</v>
      </c>
      <c r="BE118" s="26">
        <v>0</v>
      </c>
      <c r="BF118" s="26">
        <f>L118</f>
        <v>0</v>
      </c>
      <c r="BH118" s="26">
        <f>F118*AO118</f>
        <v>0</v>
      </c>
      <c r="BI118" s="26">
        <f>F118*AP118</f>
        <v>0</v>
      </c>
      <c r="BJ118" s="26">
        <f>F118*G118</f>
        <v>0</v>
      </c>
    </row>
    <row r="119" spans="1:13" ht="12.75">
      <c r="A119" s="23"/>
      <c r="B119" s="24" t="s">
        <v>346</v>
      </c>
      <c r="C119" s="24"/>
      <c r="D119" s="24" t="s">
        <v>347</v>
      </c>
      <c r="E119" s="23" t="s">
        <v>4</v>
      </c>
      <c r="F119" s="23" t="s">
        <v>4</v>
      </c>
      <c r="G119" s="23"/>
      <c r="H119" s="25">
        <f>H120+H122+H124+H127+H129+H134+H137+H143</f>
        <v>0</v>
      </c>
      <c r="I119" s="25">
        <f>I120+I122+I124+I127+I129+I134+I137+I143</f>
        <v>0</v>
      </c>
      <c r="J119" s="25">
        <f>J120+J122+J124+J127+J129+J134+J137+J143</f>
        <v>0</v>
      </c>
      <c r="K119" s="18"/>
      <c r="L119" s="25">
        <f>L120+L122+L124+L127+L129+L134+L137+L143</f>
        <v>155.788482</v>
      </c>
      <c r="M119" s="18"/>
    </row>
    <row r="120" spans="1:47" ht="12.75">
      <c r="A120" s="23"/>
      <c r="B120" s="24" t="s">
        <v>346</v>
      </c>
      <c r="C120" s="24" t="s">
        <v>102</v>
      </c>
      <c r="D120" s="24" t="s">
        <v>348</v>
      </c>
      <c r="E120" s="23" t="s">
        <v>4</v>
      </c>
      <c r="F120" s="23" t="s">
        <v>4</v>
      </c>
      <c r="G120" s="23"/>
      <c r="H120" s="25">
        <f>SUM(H121:H121)</f>
        <v>0</v>
      </c>
      <c r="I120" s="25">
        <f>SUM(I121:I121)</f>
        <v>0</v>
      </c>
      <c r="J120" s="25">
        <f>SUM(J121:J121)</f>
        <v>0</v>
      </c>
      <c r="K120" s="18"/>
      <c r="L120" s="25">
        <f>SUM(L121:L121)</f>
        <v>0</v>
      </c>
      <c r="M120" s="18"/>
      <c r="AI120" s="18" t="s">
        <v>346</v>
      </c>
      <c r="AS120" s="25">
        <f>SUM(AJ121:AJ121)</f>
        <v>0</v>
      </c>
      <c r="AT120" s="25">
        <f>SUM(AK121:AK121)</f>
        <v>0</v>
      </c>
      <c r="AU120" s="25">
        <f>SUM(AL121:AL121)</f>
        <v>0</v>
      </c>
    </row>
    <row r="121" spans="1:62" ht="12.75">
      <c r="A121" s="3" t="s">
        <v>349</v>
      </c>
      <c r="B121" s="3" t="s">
        <v>346</v>
      </c>
      <c r="C121" s="3" t="s">
        <v>350</v>
      </c>
      <c r="D121" s="3" t="s">
        <v>351</v>
      </c>
      <c r="E121" s="3" t="s">
        <v>54</v>
      </c>
      <c r="F121" s="26">
        <v>60.516</v>
      </c>
      <c r="G121" s="26"/>
      <c r="H121" s="26">
        <f>F121*AO121</f>
        <v>0</v>
      </c>
      <c r="I121" s="26">
        <f>F121*AP121</f>
        <v>0</v>
      </c>
      <c r="J121" s="26">
        <f>F121*G121</f>
        <v>0</v>
      </c>
      <c r="K121" s="26">
        <v>0</v>
      </c>
      <c r="L121" s="26">
        <f>F121*K121</f>
        <v>0</v>
      </c>
      <c r="M121" s="27" t="s">
        <v>55</v>
      </c>
      <c r="Z121" s="26">
        <f>IF(AQ121="5",BJ121,0)</f>
        <v>0</v>
      </c>
      <c r="AB121" s="26">
        <f>IF(AQ121="1",BH121,0)</f>
        <v>0</v>
      </c>
      <c r="AC121" s="26">
        <f>IF(AQ121="1",BI121,0)</f>
        <v>0</v>
      </c>
      <c r="AD121" s="26">
        <f>IF(AQ121="7",BH121,0)</f>
        <v>0</v>
      </c>
      <c r="AE121" s="26">
        <f>IF(AQ121="7",BI121,0)</f>
        <v>0</v>
      </c>
      <c r="AF121" s="26">
        <f>IF(AQ121="2",BH121,0)</f>
        <v>0</v>
      </c>
      <c r="AG121" s="26">
        <f>IF(AQ121="2",BI121,0)</f>
        <v>0</v>
      </c>
      <c r="AH121" s="26">
        <f>IF(AQ121="0",BJ121,0)</f>
        <v>0</v>
      </c>
      <c r="AI121" s="18" t="s">
        <v>346</v>
      </c>
      <c r="AJ121" s="26">
        <f>IF(AN121=0,J121,0)</f>
        <v>0</v>
      </c>
      <c r="AK121" s="26">
        <f>IF(AN121=15,J121,0)</f>
        <v>0</v>
      </c>
      <c r="AL121" s="26">
        <f>IF(AN121=21,J121,0)</f>
        <v>0</v>
      </c>
      <c r="AN121" s="26">
        <v>21</v>
      </c>
      <c r="AO121" s="26">
        <f>G121*0</f>
        <v>0</v>
      </c>
      <c r="AP121" s="26">
        <f>G121*(1-0)</f>
        <v>0</v>
      </c>
      <c r="AQ121" s="27" t="s">
        <v>51</v>
      </c>
      <c r="AV121" s="26">
        <f>AW121+AX121</f>
        <v>0</v>
      </c>
      <c r="AW121" s="26">
        <f>F121*AO121</f>
        <v>0</v>
      </c>
      <c r="AX121" s="26">
        <f>F121*AP121</f>
        <v>0</v>
      </c>
      <c r="AY121" s="27" t="s">
        <v>352</v>
      </c>
      <c r="AZ121" s="27" t="s">
        <v>353</v>
      </c>
      <c r="BA121" s="18" t="s">
        <v>354</v>
      </c>
      <c r="BC121" s="26">
        <f>AW121+AX121</f>
        <v>0</v>
      </c>
      <c r="BD121" s="26">
        <f>G121/(100-BE121)*100</f>
        <v>0</v>
      </c>
      <c r="BE121" s="26">
        <v>0</v>
      </c>
      <c r="BF121" s="26">
        <f>L121</f>
        <v>0</v>
      </c>
      <c r="BH121" s="26">
        <f>F121*AO121</f>
        <v>0</v>
      </c>
      <c r="BI121" s="26">
        <f>F121*AP121</f>
        <v>0</v>
      </c>
      <c r="BJ121" s="26">
        <f>F121*G121</f>
        <v>0</v>
      </c>
    </row>
    <row r="122" spans="1:47" ht="12.75">
      <c r="A122" s="23"/>
      <c r="B122" s="24" t="s">
        <v>346</v>
      </c>
      <c r="C122" s="24" t="s">
        <v>62</v>
      </c>
      <c r="D122" s="24" t="s">
        <v>63</v>
      </c>
      <c r="E122" s="23" t="s">
        <v>4</v>
      </c>
      <c r="F122" s="23" t="s">
        <v>4</v>
      </c>
      <c r="G122" s="23"/>
      <c r="H122" s="25">
        <f>SUM(H123:H123)</f>
        <v>0</v>
      </c>
      <c r="I122" s="25">
        <f>SUM(I123:I123)</f>
        <v>0</v>
      </c>
      <c r="J122" s="25">
        <f>SUM(J123:J123)</f>
        <v>0</v>
      </c>
      <c r="K122" s="18"/>
      <c r="L122" s="25">
        <f>SUM(L123:L123)</f>
        <v>0</v>
      </c>
      <c r="M122" s="18"/>
      <c r="AI122" s="18" t="s">
        <v>346</v>
      </c>
      <c r="AS122" s="25">
        <f>SUM(AJ123:AJ123)</f>
        <v>0</v>
      </c>
      <c r="AT122" s="25">
        <f>SUM(AK123:AK123)</f>
        <v>0</v>
      </c>
      <c r="AU122" s="25">
        <f>SUM(AL123:AL123)</f>
        <v>0</v>
      </c>
    </row>
    <row r="123" spans="1:62" ht="12.75">
      <c r="A123" s="3" t="s">
        <v>355</v>
      </c>
      <c r="B123" s="3" t="s">
        <v>346</v>
      </c>
      <c r="C123" s="3" t="s">
        <v>65</v>
      </c>
      <c r="D123" s="3" t="s">
        <v>66</v>
      </c>
      <c r="E123" s="3" t="s">
        <v>54</v>
      </c>
      <c r="F123" s="26">
        <v>60.5</v>
      </c>
      <c r="G123" s="26"/>
      <c r="H123" s="26">
        <f>F123*AO123</f>
        <v>0</v>
      </c>
      <c r="I123" s="26">
        <f>F123*AP123</f>
        <v>0</v>
      </c>
      <c r="J123" s="26">
        <f>F123*G123</f>
        <v>0</v>
      </c>
      <c r="K123" s="26">
        <v>0</v>
      </c>
      <c r="L123" s="26">
        <f>F123*K123</f>
        <v>0</v>
      </c>
      <c r="M123" s="27" t="s">
        <v>55</v>
      </c>
      <c r="Z123" s="26">
        <f>IF(AQ123="5",BJ123,0)</f>
        <v>0</v>
      </c>
      <c r="AB123" s="26">
        <f>IF(AQ123="1",BH123,0)</f>
        <v>0</v>
      </c>
      <c r="AC123" s="26">
        <f>IF(AQ123="1",BI123,0)</f>
        <v>0</v>
      </c>
      <c r="AD123" s="26">
        <f>IF(AQ123="7",BH123,0)</f>
        <v>0</v>
      </c>
      <c r="AE123" s="26">
        <f>IF(AQ123="7",BI123,0)</f>
        <v>0</v>
      </c>
      <c r="AF123" s="26">
        <f>IF(AQ123="2",BH123,0)</f>
        <v>0</v>
      </c>
      <c r="AG123" s="26">
        <f>IF(AQ123="2",BI123,0)</f>
        <v>0</v>
      </c>
      <c r="AH123" s="26">
        <f>IF(AQ123="0",BJ123,0)</f>
        <v>0</v>
      </c>
      <c r="AI123" s="18" t="s">
        <v>346</v>
      </c>
      <c r="AJ123" s="26">
        <f>IF(AN123=0,J123,0)</f>
        <v>0</v>
      </c>
      <c r="AK123" s="26">
        <f>IF(AN123=15,J123,0)</f>
        <v>0</v>
      </c>
      <c r="AL123" s="26">
        <f>IF(AN123=21,J123,0)</f>
        <v>0</v>
      </c>
      <c r="AN123" s="26">
        <v>21</v>
      </c>
      <c r="AO123" s="26">
        <f>G123*0</f>
        <v>0</v>
      </c>
      <c r="AP123" s="26">
        <f>G123*(1-0)</f>
        <v>0</v>
      </c>
      <c r="AQ123" s="27" t="s">
        <v>51</v>
      </c>
      <c r="AV123" s="26">
        <f>AW123+AX123</f>
        <v>0</v>
      </c>
      <c r="AW123" s="26">
        <f>F123*AO123</f>
        <v>0</v>
      </c>
      <c r="AX123" s="26">
        <f>F123*AP123</f>
        <v>0</v>
      </c>
      <c r="AY123" s="27" t="s">
        <v>67</v>
      </c>
      <c r="AZ123" s="27" t="s">
        <v>353</v>
      </c>
      <c r="BA123" s="18" t="s">
        <v>354</v>
      </c>
      <c r="BC123" s="26">
        <f>AW123+AX123</f>
        <v>0</v>
      </c>
      <c r="BD123" s="26">
        <f>G123/(100-BE123)*100</f>
        <v>0</v>
      </c>
      <c r="BE123" s="26">
        <v>0</v>
      </c>
      <c r="BF123" s="26">
        <f>L123</f>
        <v>0</v>
      </c>
      <c r="BH123" s="26">
        <f>F123*AO123</f>
        <v>0</v>
      </c>
      <c r="BI123" s="26">
        <f>F123*AP123</f>
        <v>0</v>
      </c>
      <c r="BJ123" s="26">
        <f>F123*G123</f>
        <v>0</v>
      </c>
    </row>
    <row r="124" spans="1:47" ht="12.75">
      <c r="A124" s="23"/>
      <c r="B124" s="24" t="s">
        <v>346</v>
      </c>
      <c r="C124" s="24" t="s">
        <v>68</v>
      </c>
      <c r="D124" s="24" t="s">
        <v>69</v>
      </c>
      <c r="E124" s="23" t="s">
        <v>4</v>
      </c>
      <c r="F124" s="23" t="s">
        <v>4</v>
      </c>
      <c r="G124" s="23"/>
      <c r="H124" s="25">
        <f>SUM(H125:H126)</f>
        <v>0</v>
      </c>
      <c r="I124" s="25">
        <f>SUM(I125:I126)</f>
        <v>0</v>
      </c>
      <c r="J124" s="25">
        <f>SUM(J125:J126)</f>
        <v>0</v>
      </c>
      <c r="K124" s="18"/>
      <c r="L124" s="25">
        <f>SUM(L125:L126)</f>
        <v>0</v>
      </c>
      <c r="M124" s="18"/>
      <c r="AI124" s="18" t="s">
        <v>346</v>
      </c>
      <c r="AS124" s="25">
        <f>SUM(AJ125:AJ126)</f>
        <v>0</v>
      </c>
      <c r="AT124" s="25">
        <f>SUM(AK125:AK126)</f>
        <v>0</v>
      </c>
      <c r="AU124" s="25">
        <f>SUM(AL125:AL126)</f>
        <v>0</v>
      </c>
    </row>
    <row r="125" spans="1:62" ht="12.75">
      <c r="A125" s="3" t="s">
        <v>356</v>
      </c>
      <c r="B125" s="3" t="s">
        <v>346</v>
      </c>
      <c r="C125" s="3" t="s">
        <v>357</v>
      </c>
      <c r="D125" s="3" t="s">
        <v>358</v>
      </c>
      <c r="E125" s="3" t="s">
        <v>54</v>
      </c>
      <c r="F125" s="26">
        <v>60.5</v>
      </c>
      <c r="G125" s="26"/>
      <c r="H125" s="26">
        <f>F125*AO125</f>
        <v>0</v>
      </c>
      <c r="I125" s="26">
        <f>F125*AP125</f>
        <v>0</v>
      </c>
      <c r="J125" s="26">
        <f>F125*G125</f>
        <v>0</v>
      </c>
      <c r="K125" s="26">
        <v>0</v>
      </c>
      <c r="L125" s="26">
        <f>F125*K125</f>
        <v>0</v>
      </c>
      <c r="M125" s="27" t="s">
        <v>55</v>
      </c>
      <c r="Z125" s="26">
        <f>IF(AQ125="5",BJ125,0)</f>
        <v>0</v>
      </c>
      <c r="AB125" s="26">
        <f>IF(AQ125="1",BH125,0)</f>
        <v>0</v>
      </c>
      <c r="AC125" s="26">
        <f>IF(AQ125="1",BI125,0)</f>
        <v>0</v>
      </c>
      <c r="AD125" s="26">
        <f>IF(AQ125="7",BH125,0)</f>
        <v>0</v>
      </c>
      <c r="AE125" s="26">
        <f>IF(AQ125="7",BI125,0)</f>
        <v>0</v>
      </c>
      <c r="AF125" s="26">
        <f>IF(AQ125="2",BH125,0)</f>
        <v>0</v>
      </c>
      <c r="AG125" s="26">
        <f>IF(AQ125="2",BI125,0)</f>
        <v>0</v>
      </c>
      <c r="AH125" s="26">
        <f>IF(AQ125="0",BJ125,0)</f>
        <v>0</v>
      </c>
      <c r="AI125" s="18" t="s">
        <v>346</v>
      </c>
      <c r="AJ125" s="26">
        <f>IF(AN125=0,J125,0)</f>
        <v>0</v>
      </c>
      <c r="AK125" s="26">
        <f>IF(AN125=15,J125,0)</f>
        <v>0</v>
      </c>
      <c r="AL125" s="26">
        <f>IF(AN125=21,J125,0)</f>
        <v>0</v>
      </c>
      <c r="AN125" s="26">
        <v>21</v>
      </c>
      <c r="AO125" s="26">
        <f>G125*0</f>
        <v>0</v>
      </c>
      <c r="AP125" s="26">
        <f>G125*(1-0)</f>
        <v>0</v>
      </c>
      <c r="AQ125" s="27" t="s">
        <v>51</v>
      </c>
      <c r="AV125" s="26">
        <f>AW125+AX125</f>
        <v>0</v>
      </c>
      <c r="AW125" s="26">
        <f>F125*AO125</f>
        <v>0</v>
      </c>
      <c r="AX125" s="26">
        <f>F125*AP125</f>
        <v>0</v>
      </c>
      <c r="AY125" s="27" t="s">
        <v>73</v>
      </c>
      <c r="AZ125" s="27" t="s">
        <v>353</v>
      </c>
      <c r="BA125" s="18" t="s">
        <v>354</v>
      </c>
      <c r="BC125" s="26">
        <f>AW125+AX125</f>
        <v>0</v>
      </c>
      <c r="BD125" s="26">
        <f>G125/(100-BE125)*100</f>
        <v>0</v>
      </c>
      <c r="BE125" s="26">
        <v>0</v>
      </c>
      <c r="BF125" s="26">
        <f>L125</f>
        <v>0</v>
      </c>
      <c r="BH125" s="26">
        <f>F125*AO125</f>
        <v>0</v>
      </c>
      <c r="BI125" s="26">
        <f>F125*AP125</f>
        <v>0</v>
      </c>
      <c r="BJ125" s="26">
        <f>F125*G125</f>
        <v>0</v>
      </c>
    </row>
    <row r="126" spans="1:62" ht="12.75">
      <c r="A126" s="3" t="s">
        <v>359</v>
      </c>
      <c r="B126" s="3" t="s">
        <v>346</v>
      </c>
      <c r="C126" s="3" t="s">
        <v>360</v>
      </c>
      <c r="D126" s="3" t="s">
        <v>361</v>
      </c>
      <c r="E126" s="3" t="s">
        <v>111</v>
      </c>
      <c r="F126" s="26">
        <v>96.8</v>
      </c>
      <c r="G126" s="26"/>
      <c r="H126" s="26">
        <f>F126*AO126</f>
        <v>0</v>
      </c>
      <c r="I126" s="26">
        <f>F126*AP126</f>
        <v>0</v>
      </c>
      <c r="J126" s="26">
        <f>F126*G126</f>
        <v>0</v>
      </c>
      <c r="K126" s="26">
        <v>0</v>
      </c>
      <c r="L126" s="26">
        <f>F126*K126</f>
        <v>0</v>
      </c>
      <c r="M126" s="27" t="s">
        <v>77</v>
      </c>
      <c r="Z126" s="26">
        <f>IF(AQ126="5",BJ126,0)</f>
        <v>0</v>
      </c>
      <c r="AB126" s="26">
        <f>IF(AQ126="1",BH126,0)</f>
        <v>0</v>
      </c>
      <c r="AC126" s="26">
        <f>IF(AQ126="1",BI126,0)</f>
        <v>0</v>
      </c>
      <c r="AD126" s="26">
        <f>IF(AQ126="7",BH126,0)</f>
        <v>0</v>
      </c>
      <c r="AE126" s="26">
        <f>IF(AQ126="7",BI126,0)</f>
        <v>0</v>
      </c>
      <c r="AF126" s="26">
        <f>IF(AQ126="2",BH126,0)</f>
        <v>0</v>
      </c>
      <c r="AG126" s="26">
        <f>IF(AQ126="2",BI126,0)</f>
        <v>0</v>
      </c>
      <c r="AH126" s="26">
        <f>IF(AQ126="0",BJ126,0)</f>
        <v>0</v>
      </c>
      <c r="AI126" s="18" t="s">
        <v>346</v>
      </c>
      <c r="AJ126" s="26">
        <f>IF(AN126=0,J126,0)</f>
        <v>0</v>
      </c>
      <c r="AK126" s="26">
        <f>IF(AN126=15,J126,0)</f>
        <v>0</v>
      </c>
      <c r="AL126" s="26">
        <f>IF(AN126=21,J126,0)</f>
        <v>0</v>
      </c>
      <c r="AN126" s="26">
        <v>21</v>
      </c>
      <c r="AO126" s="26">
        <f>G126*0</f>
        <v>0</v>
      </c>
      <c r="AP126" s="26">
        <f>G126*(1-0)</f>
        <v>0</v>
      </c>
      <c r="AQ126" s="27" t="s">
        <v>51</v>
      </c>
      <c r="AV126" s="26">
        <f>AW126+AX126</f>
        <v>0</v>
      </c>
      <c r="AW126" s="26">
        <f>F126*AO126</f>
        <v>0</v>
      </c>
      <c r="AX126" s="26">
        <f>F126*AP126</f>
        <v>0</v>
      </c>
      <c r="AY126" s="27" t="s">
        <v>73</v>
      </c>
      <c r="AZ126" s="27" t="s">
        <v>353</v>
      </c>
      <c r="BA126" s="18" t="s">
        <v>354</v>
      </c>
      <c r="BC126" s="26">
        <f>AW126+AX126</f>
        <v>0</v>
      </c>
      <c r="BD126" s="26">
        <f>G126/(100-BE126)*100</f>
        <v>0</v>
      </c>
      <c r="BE126" s="26">
        <v>0</v>
      </c>
      <c r="BF126" s="26">
        <f>L126</f>
        <v>0</v>
      </c>
      <c r="BH126" s="26">
        <f>F126*AO126</f>
        <v>0</v>
      </c>
      <c r="BI126" s="26">
        <f>F126*AP126</f>
        <v>0</v>
      </c>
      <c r="BJ126" s="26">
        <f>F126*G126</f>
        <v>0</v>
      </c>
    </row>
    <row r="127" spans="1:47" ht="12.75">
      <c r="A127" s="23"/>
      <c r="B127" s="24" t="s">
        <v>346</v>
      </c>
      <c r="C127" s="24" t="s">
        <v>79</v>
      </c>
      <c r="D127" s="24" t="s">
        <v>80</v>
      </c>
      <c r="E127" s="23" t="s">
        <v>4</v>
      </c>
      <c r="F127" s="23" t="s">
        <v>4</v>
      </c>
      <c r="G127" s="23"/>
      <c r="H127" s="25">
        <f>SUM(H128:H128)</f>
        <v>0</v>
      </c>
      <c r="I127" s="25">
        <f>SUM(I128:I128)</f>
        <v>0</v>
      </c>
      <c r="J127" s="25">
        <f>SUM(J128:J128)</f>
        <v>0</v>
      </c>
      <c r="K127" s="18"/>
      <c r="L127" s="25">
        <f>SUM(L128:L128)</f>
        <v>0</v>
      </c>
      <c r="M127" s="18"/>
      <c r="AI127" s="18" t="s">
        <v>346</v>
      </c>
      <c r="AS127" s="25">
        <f>SUM(AJ128:AJ128)</f>
        <v>0</v>
      </c>
      <c r="AT127" s="25">
        <f>SUM(AK128:AK128)</f>
        <v>0</v>
      </c>
      <c r="AU127" s="25">
        <f>SUM(AL128:AL128)</f>
        <v>0</v>
      </c>
    </row>
    <row r="128" spans="1:62" ht="12.75">
      <c r="A128" s="3" t="s">
        <v>362</v>
      </c>
      <c r="B128" s="3" t="s">
        <v>346</v>
      </c>
      <c r="C128" s="3" t="s">
        <v>82</v>
      </c>
      <c r="D128" s="3" t="s">
        <v>83</v>
      </c>
      <c r="E128" s="3" t="s">
        <v>84</v>
      </c>
      <c r="F128" s="26">
        <v>147.6</v>
      </c>
      <c r="G128" s="26"/>
      <c r="H128" s="26">
        <f>F128*AO128</f>
        <v>0</v>
      </c>
      <c r="I128" s="26">
        <f>F128*AP128</f>
        <v>0</v>
      </c>
      <c r="J128" s="26">
        <f>F128*G128</f>
        <v>0</v>
      </c>
      <c r="K128" s="26">
        <v>0</v>
      </c>
      <c r="L128" s="26">
        <f>F128*K128</f>
        <v>0</v>
      </c>
      <c r="M128" s="27" t="s">
        <v>77</v>
      </c>
      <c r="Z128" s="26">
        <f>IF(AQ128="5",BJ128,0)</f>
        <v>0</v>
      </c>
      <c r="AB128" s="26">
        <f>IF(AQ128="1",BH128,0)</f>
        <v>0</v>
      </c>
      <c r="AC128" s="26">
        <f>IF(AQ128="1",BI128,0)</f>
        <v>0</v>
      </c>
      <c r="AD128" s="26">
        <f>IF(AQ128="7",BH128,0)</f>
        <v>0</v>
      </c>
      <c r="AE128" s="26">
        <f>IF(AQ128="7",BI128,0)</f>
        <v>0</v>
      </c>
      <c r="AF128" s="26">
        <f>IF(AQ128="2",BH128,0)</f>
        <v>0</v>
      </c>
      <c r="AG128" s="26">
        <f>IF(AQ128="2",BI128,0)</f>
        <v>0</v>
      </c>
      <c r="AH128" s="26">
        <f>IF(AQ128="0",BJ128,0)</f>
        <v>0</v>
      </c>
      <c r="AI128" s="18" t="s">
        <v>346</v>
      </c>
      <c r="AJ128" s="26">
        <f>IF(AN128=0,J128,0)</f>
        <v>0</v>
      </c>
      <c r="AK128" s="26">
        <f>IF(AN128=15,J128,0)</f>
        <v>0</v>
      </c>
      <c r="AL128" s="26">
        <f>IF(AN128=21,J128,0)</f>
        <v>0</v>
      </c>
      <c r="AN128" s="26">
        <v>21</v>
      </c>
      <c r="AO128" s="26">
        <f>G128*0</f>
        <v>0</v>
      </c>
      <c r="AP128" s="26">
        <f>G128*(1-0)</f>
        <v>0</v>
      </c>
      <c r="AQ128" s="27" t="s">
        <v>51</v>
      </c>
      <c r="AV128" s="26">
        <f>AW128+AX128</f>
        <v>0</v>
      </c>
      <c r="AW128" s="26">
        <f>F128*AO128</f>
        <v>0</v>
      </c>
      <c r="AX128" s="26">
        <f>F128*AP128</f>
        <v>0</v>
      </c>
      <c r="AY128" s="27" t="s">
        <v>85</v>
      </c>
      <c r="AZ128" s="27" t="s">
        <v>353</v>
      </c>
      <c r="BA128" s="18" t="s">
        <v>354</v>
      </c>
      <c r="BC128" s="26">
        <f>AW128+AX128</f>
        <v>0</v>
      </c>
      <c r="BD128" s="26">
        <f>G128/(100-BE128)*100</f>
        <v>0</v>
      </c>
      <c r="BE128" s="26">
        <v>0</v>
      </c>
      <c r="BF128" s="26">
        <f>L128</f>
        <v>0</v>
      </c>
      <c r="BH128" s="26">
        <f>F128*AO128</f>
        <v>0</v>
      </c>
      <c r="BI128" s="26">
        <f>F128*AP128</f>
        <v>0</v>
      </c>
      <c r="BJ128" s="26">
        <f>F128*G128</f>
        <v>0</v>
      </c>
    </row>
    <row r="129" spans="1:47" ht="12.75">
      <c r="A129" s="23"/>
      <c r="B129" s="24" t="s">
        <v>346</v>
      </c>
      <c r="C129" s="24" t="s">
        <v>290</v>
      </c>
      <c r="D129" s="24" t="s">
        <v>363</v>
      </c>
      <c r="E129" s="23" t="s">
        <v>4</v>
      </c>
      <c r="F129" s="23" t="s">
        <v>4</v>
      </c>
      <c r="G129" s="23"/>
      <c r="H129" s="25">
        <f>SUM(H130:H132)</f>
        <v>0</v>
      </c>
      <c r="I129" s="25">
        <f>SUM(I130:I132)</f>
        <v>0</v>
      </c>
      <c r="J129" s="25">
        <f>SUM(J130:J132)</f>
        <v>0</v>
      </c>
      <c r="K129" s="18"/>
      <c r="L129" s="25">
        <f>SUM(L130:L132)</f>
        <v>111.5856</v>
      </c>
      <c r="M129" s="18"/>
      <c r="AI129" s="18" t="s">
        <v>346</v>
      </c>
      <c r="AS129" s="25">
        <f>SUM(AJ130:AJ132)</f>
        <v>0</v>
      </c>
      <c r="AT129" s="25">
        <f>SUM(AK130:AK132)</f>
        <v>0</v>
      </c>
      <c r="AU129" s="25">
        <f>SUM(AL130:AL132)</f>
        <v>0</v>
      </c>
    </row>
    <row r="130" spans="1:62" ht="12.75">
      <c r="A130" s="3" t="s">
        <v>364</v>
      </c>
      <c r="B130" s="3" t="s">
        <v>346</v>
      </c>
      <c r="C130" s="3" t="s">
        <v>365</v>
      </c>
      <c r="D130" s="3" t="s">
        <v>366</v>
      </c>
      <c r="E130" s="3" t="s">
        <v>84</v>
      </c>
      <c r="F130" s="26">
        <v>147.6</v>
      </c>
      <c r="G130" s="26"/>
      <c r="H130" s="26">
        <f>F130*AO130</f>
        <v>0</v>
      </c>
      <c r="I130" s="26">
        <f>F130*AP130</f>
        <v>0</v>
      </c>
      <c r="J130" s="26">
        <f>F130*G130</f>
        <v>0</v>
      </c>
      <c r="K130" s="26">
        <v>0.378</v>
      </c>
      <c r="L130" s="26">
        <f>F130*K130</f>
        <v>55.7928</v>
      </c>
      <c r="M130" s="27" t="s">
        <v>55</v>
      </c>
      <c r="Z130" s="26">
        <f>IF(AQ130="5",BJ130,0)</f>
        <v>0</v>
      </c>
      <c r="AB130" s="26">
        <f>IF(AQ130="1",BH130,0)</f>
        <v>0</v>
      </c>
      <c r="AC130" s="26">
        <f>IF(AQ130="1",BI130,0)</f>
        <v>0</v>
      </c>
      <c r="AD130" s="26">
        <f>IF(AQ130="7",BH130,0)</f>
        <v>0</v>
      </c>
      <c r="AE130" s="26">
        <f>IF(AQ130="7",BI130,0)</f>
        <v>0</v>
      </c>
      <c r="AF130" s="26">
        <f>IF(AQ130="2",BH130,0)</f>
        <v>0</v>
      </c>
      <c r="AG130" s="26">
        <f>IF(AQ130="2",BI130,0)</f>
        <v>0</v>
      </c>
      <c r="AH130" s="26">
        <f>IF(AQ130="0",BJ130,0)</f>
        <v>0</v>
      </c>
      <c r="AI130" s="18" t="s">
        <v>346</v>
      </c>
      <c r="AJ130" s="26">
        <f>IF(AN130=0,J130,0)</f>
        <v>0</v>
      </c>
      <c r="AK130" s="26">
        <f>IF(AN130=15,J130,0)</f>
        <v>0</v>
      </c>
      <c r="AL130" s="26">
        <f>IF(AN130=21,J130,0)</f>
        <v>0</v>
      </c>
      <c r="AN130" s="26">
        <v>21</v>
      </c>
      <c r="AO130" s="26">
        <f>G130*0.863288409703504</f>
        <v>0</v>
      </c>
      <c r="AP130" s="26">
        <f>G130*(1-0.863288409703504)</f>
        <v>0</v>
      </c>
      <c r="AQ130" s="27" t="s">
        <v>51</v>
      </c>
      <c r="AV130" s="26">
        <f>AW130+AX130</f>
        <v>0</v>
      </c>
      <c r="AW130" s="26">
        <f>F130*AO130</f>
        <v>0</v>
      </c>
      <c r="AX130" s="26">
        <f>F130*AP130</f>
        <v>0</v>
      </c>
      <c r="AY130" s="27" t="s">
        <v>367</v>
      </c>
      <c r="AZ130" s="27" t="s">
        <v>368</v>
      </c>
      <c r="BA130" s="18" t="s">
        <v>354</v>
      </c>
      <c r="BC130" s="26">
        <f>AW130+AX130</f>
        <v>0</v>
      </c>
      <c r="BD130" s="26">
        <f>G130/(100-BE130)*100</f>
        <v>0</v>
      </c>
      <c r="BE130" s="26">
        <v>0</v>
      </c>
      <c r="BF130" s="26">
        <f>L130</f>
        <v>55.7928</v>
      </c>
      <c r="BH130" s="26">
        <f>F130*AO130</f>
        <v>0</v>
      </c>
      <c r="BI130" s="26">
        <f>F130*AP130</f>
        <v>0</v>
      </c>
      <c r="BJ130" s="26">
        <f>F130*G130</f>
        <v>0</v>
      </c>
    </row>
    <row r="131" ht="12.75">
      <c r="D131" s="2" t="s">
        <v>369</v>
      </c>
    </row>
    <row r="132" spans="1:62" ht="12.75">
      <c r="A132" s="3" t="s">
        <v>370</v>
      </c>
      <c r="B132" s="3" t="s">
        <v>346</v>
      </c>
      <c r="C132" s="3" t="s">
        <v>371</v>
      </c>
      <c r="D132" s="3" t="s">
        <v>366</v>
      </c>
      <c r="E132" s="3" t="s">
        <v>84</v>
      </c>
      <c r="F132" s="26">
        <v>147.6</v>
      </c>
      <c r="G132" s="26"/>
      <c r="H132" s="26">
        <f>F132*AO132</f>
        <v>0</v>
      </c>
      <c r="I132" s="26">
        <f>F132*AP132</f>
        <v>0</v>
      </c>
      <c r="J132" s="26">
        <f>F132*G132</f>
        <v>0</v>
      </c>
      <c r="K132" s="26">
        <v>0.378</v>
      </c>
      <c r="L132" s="26">
        <f>F132*K132</f>
        <v>55.7928</v>
      </c>
      <c r="M132" s="27" t="s">
        <v>55</v>
      </c>
      <c r="Z132" s="26">
        <f>IF(AQ132="5",BJ132,0)</f>
        <v>0</v>
      </c>
      <c r="AB132" s="26">
        <f>IF(AQ132="1",BH132,0)</f>
        <v>0</v>
      </c>
      <c r="AC132" s="26">
        <f>IF(AQ132="1",BI132,0)</f>
        <v>0</v>
      </c>
      <c r="AD132" s="26">
        <f>IF(AQ132="7",BH132,0)</f>
        <v>0</v>
      </c>
      <c r="AE132" s="26">
        <f>IF(AQ132="7",BI132,0)</f>
        <v>0</v>
      </c>
      <c r="AF132" s="26">
        <f>IF(AQ132="2",BH132,0)</f>
        <v>0</v>
      </c>
      <c r="AG132" s="26">
        <f>IF(AQ132="2",BI132,0)</f>
        <v>0</v>
      </c>
      <c r="AH132" s="26">
        <f>IF(AQ132="0",BJ132,0)</f>
        <v>0</v>
      </c>
      <c r="AI132" s="18" t="s">
        <v>346</v>
      </c>
      <c r="AJ132" s="26">
        <f>IF(AN132=0,J132,0)</f>
        <v>0</v>
      </c>
      <c r="AK132" s="26">
        <f>IF(AN132=15,J132,0)</f>
        <v>0</v>
      </c>
      <c r="AL132" s="26">
        <f>IF(AN132=21,J132,0)</f>
        <v>0</v>
      </c>
      <c r="AN132" s="26">
        <v>21</v>
      </c>
      <c r="AO132" s="26">
        <f>G132*0.854252873563218</f>
        <v>0</v>
      </c>
      <c r="AP132" s="26">
        <f>G132*(1-0.854252873563218)</f>
        <v>0</v>
      </c>
      <c r="AQ132" s="27" t="s">
        <v>51</v>
      </c>
      <c r="AV132" s="26">
        <f>AW132+AX132</f>
        <v>0</v>
      </c>
      <c r="AW132" s="26">
        <f>F132*AO132</f>
        <v>0</v>
      </c>
      <c r="AX132" s="26">
        <f>F132*AP132</f>
        <v>0</v>
      </c>
      <c r="AY132" s="27" t="s">
        <v>367</v>
      </c>
      <c r="AZ132" s="27" t="s">
        <v>368</v>
      </c>
      <c r="BA132" s="18" t="s">
        <v>354</v>
      </c>
      <c r="BC132" s="26">
        <f>AW132+AX132</f>
        <v>0</v>
      </c>
      <c r="BD132" s="26">
        <f>G132/(100-BE132)*100</f>
        <v>0</v>
      </c>
      <c r="BE132" s="26">
        <v>0</v>
      </c>
      <c r="BF132" s="26">
        <f>L132</f>
        <v>55.7928</v>
      </c>
      <c r="BH132" s="26">
        <f>F132*AO132</f>
        <v>0</v>
      </c>
      <c r="BI132" s="26">
        <f>F132*AP132</f>
        <v>0</v>
      </c>
      <c r="BJ132" s="26">
        <f>F132*G132</f>
        <v>0</v>
      </c>
    </row>
    <row r="133" ht="12.75">
      <c r="D133" s="2" t="s">
        <v>372</v>
      </c>
    </row>
    <row r="134" spans="1:47" ht="12.75">
      <c r="A134" s="23"/>
      <c r="B134" s="24" t="s">
        <v>346</v>
      </c>
      <c r="C134" s="24" t="s">
        <v>151</v>
      </c>
      <c r="D134" s="24" t="s">
        <v>152</v>
      </c>
      <c r="E134" s="23" t="s">
        <v>4</v>
      </c>
      <c r="F134" s="23" t="s">
        <v>4</v>
      </c>
      <c r="G134" s="23"/>
      <c r="H134" s="25">
        <f>SUM(H135:H136)</f>
        <v>0</v>
      </c>
      <c r="I134" s="25">
        <f>SUM(I135:I136)</f>
        <v>0</v>
      </c>
      <c r="J134" s="25">
        <f>SUM(J135:J136)</f>
        <v>0</v>
      </c>
      <c r="K134" s="18"/>
      <c r="L134" s="25">
        <f>SUM(L135:L136)</f>
        <v>37.40479199999999</v>
      </c>
      <c r="M134" s="18"/>
      <c r="AI134" s="18" t="s">
        <v>346</v>
      </c>
      <c r="AS134" s="25">
        <f>SUM(AJ135:AJ136)</f>
        <v>0</v>
      </c>
      <c r="AT134" s="25">
        <f>SUM(AK135:AK136)</f>
        <v>0</v>
      </c>
      <c r="AU134" s="25">
        <f>SUM(AL135:AL136)</f>
        <v>0</v>
      </c>
    </row>
    <row r="135" spans="1:62" ht="12.75">
      <c r="A135" s="3" t="s">
        <v>373</v>
      </c>
      <c r="B135" s="3" t="s">
        <v>346</v>
      </c>
      <c r="C135" s="3" t="s">
        <v>374</v>
      </c>
      <c r="D135" s="3" t="s">
        <v>375</v>
      </c>
      <c r="E135" s="3" t="s">
        <v>84</v>
      </c>
      <c r="F135" s="26">
        <v>147.6</v>
      </c>
      <c r="G135" s="26"/>
      <c r="H135" s="26">
        <f>F135*AO135</f>
        <v>0</v>
      </c>
      <c r="I135" s="26">
        <f>F135*AP135</f>
        <v>0</v>
      </c>
      <c r="J135" s="26">
        <f>F135*G135</f>
        <v>0</v>
      </c>
      <c r="K135" s="26">
        <v>0.0739</v>
      </c>
      <c r="L135" s="26">
        <f>F135*K135</f>
        <v>10.907639999999999</v>
      </c>
      <c r="M135" s="27" t="s">
        <v>55</v>
      </c>
      <c r="Z135" s="26">
        <f>IF(AQ135="5",BJ135,0)</f>
        <v>0</v>
      </c>
      <c r="AB135" s="26">
        <f>IF(AQ135="1",BH135,0)</f>
        <v>0</v>
      </c>
      <c r="AC135" s="26">
        <f>IF(AQ135="1",BI135,0)</f>
        <v>0</v>
      </c>
      <c r="AD135" s="26">
        <f>IF(AQ135="7",BH135,0)</f>
        <v>0</v>
      </c>
      <c r="AE135" s="26">
        <f>IF(AQ135="7",BI135,0)</f>
        <v>0</v>
      </c>
      <c r="AF135" s="26">
        <f>IF(AQ135="2",BH135,0)</f>
        <v>0</v>
      </c>
      <c r="AG135" s="26">
        <f>IF(AQ135="2",BI135,0)</f>
        <v>0</v>
      </c>
      <c r="AH135" s="26">
        <f>IF(AQ135="0",BJ135,0)</f>
        <v>0</v>
      </c>
      <c r="AI135" s="18" t="s">
        <v>346</v>
      </c>
      <c r="AJ135" s="26">
        <f>IF(AN135=0,J135,0)</f>
        <v>0</v>
      </c>
      <c r="AK135" s="26">
        <f>IF(AN135=15,J135,0)</f>
        <v>0</v>
      </c>
      <c r="AL135" s="26">
        <f>IF(AN135=21,J135,0)</f>
        <v>0</v>
      </c>
      <c r="AN135" s="26">
        <v>21</v>
      </c>
      <c r="AO135" s="26">
        <f>G135*0.146007462686567</f>
        <v>0</v>
      </c>
      <c r="AP135" s="26">
        <f>G135*(1-0.146007462686567)</f>
        <v>0</v>
      </c>
      <c r="AQ135" s="27" t="s">
        <v>51</v>
      </c>
      <c r="AV135" s="26">
        <f>AW135+AX135</f>
        <v>0</v>
      </c>
      <c r="AW135" s="26">
        <f>F135*AO135</f>
        <v>0</v>
      </c>
      <c r="AX135" s="26">
        <f>F135*AP135</f>
        <v>0</v>
      </c>
      <c r="AY135" s="27" t="s">
        <v>157</v>
      </c>
      <c r="AZ135" s="27" t="s">
        <v>368</v>
      </c>
      <c r="BA135" s="18" t="s">
        <v>354</v>
      </c>
      <c r="BC135" s="26">
        <f>AW135+AX135</f>
        <v>0</v>
      </c>
      <c r="BD135" s="26">
        <f>G135/(100-BE135)*100</f>
        <v>0</v>
      </c>
      <c r="BE135" s="26">
        <v>0</v>
      </c>
      <c r="BF135" s="26">
        <f>L135</f>
        <v>10.907639999999999</v>
      </c>
      <c r="BH135" s="26">
        <f>F135*AO135</f>
        <v>0</v>
      </c>
      <c r="BI135" s="26">
        <f>F135*AP135</f>
        <v>0</v>
      </c>
      <c r="BJ135" s="26">
        <f>F135*G135</f>
        <v>0</v>
      </c>
    </row>
    <row r="136" spans="1:62" ht="12.75">
      <c r="A136" s="3" t="s">
        <v>376</v>
      </c>
      <c r="B136" s="3" t="s">
        <v>346</v>
      </c>
      <c r="C136" s="3" t="s">
        <v>377</v>
      </c>
      <c r="D136" s="3" t="s">
        <v>378</v>
      </c>
      <c r="E136" s="3" t="s">
        <v>84</v>
      </c>
      <c r="F136" s="26">
        <v>150.552</v>
      </c>
      <c r="G136" s="26"/>
      <c r="H136" s="26">
        <f>F136*AO136</f>
        <v>0</v>
      </c>
      <c r="I136" s="26">
        <f>F136*AP136</f>
        <v>0</v>
      </c>
      <c r="J136" s="26">
        <f>F136*G136</f>
        <v>0</v>
      </c>
      <c r="K136" s="26">
        <v>0.176</v>
      </c>
      <c r="L136" s="26">
        <f>F136*K136</f>
        <v>26.497151999999996</v>
      </c>
      <c r="M136" s="27" t="s">
        <v>55</v>
      </c>
      <c r="Z136" s="26">
        <f>IF(AQ136="5",BJ136,0)</f>
        <v>0</v>
      </c>
      <c r="AB136" s="26">
        <f>IF(AQ136="1",BH136,0)</f>
        <v>0</v>
      </c>
      <c r="AC136" s="26">
        <f>IF(AQ136="1",BI136,0)</f>
        <v>0</v>
      </c>
      <c r="AD136" s="26">
        <f>IF(AQ136="7",BH136,0)</f>
        <v>0</v>
      </c>
      <c r="AE136" s="26">
        <f>IF(AQ136="7",BI136,0)</f>
        <v>0</v>
      </c>
      <c r="AF136" s="26">
        <f>IF(AQ136="2",BH136,0)</f>
        <v>0</v>
      </c>
      <c r="AG136" s="26">
        <f>IF(AQ136="2",BI136,0)</f>
        <v>0</v>
      </c>
      <c r="AH136" s="26">
        <f>IF(AQ136="0",BJ136,0)</f>
        <v>0</v>
      </c>
      <c r="AI136" s="18" t="s">
        <v>346</v>
      </c>
      <c r="AJ136" s="26">
        <f>IF(AN136=0,J136,0)</f>
        <v>0</v>
      </c>
      <c r="AK136" s="26">
        <f>IF(AN136=15,J136,0)</f>
        <v>0</v>
      </c>
      <c r="AL136" s="26">
        <f>IF(AN136=21,J136,0)</f>
        <v>0</v>
      </c>
      <c r="AN136" s="26">
        <v>21</v>
      </c>
      <c r="AO136" s="26">
        <f>G136*1</f>
        <v>0</v>
      </c>
      <c r="AP136" s="26">
        <f>G136*(1-1)</f>
        <v>0</v>
      </c>
      <c r="AQ136" s="27" t="s">
        <v>51</v>
      </c>
      <c r="AV136" s="26">
        <f>AW136+AX136</f>
        <v>0</v>
      </c>
      <c r="AW136" s="26">
        <f>F136*AO136</f>
        <v>0</v>
      </c>
      <c r="AX136" s="26">
        <f>F136*AP136</f>
        <v>0</v>
      </c>
      <c r="AY136" s="27" t="s">
        <v>157</v>
      </c>
      <c r="AZ136" s="27" t="s">
        <v>368</v>
      </c>
      <c r="BA136" s="18" t="s">
        <v>354</v>
      </c>
      <c r="BC136" s="26">
        <f>AW136+AX136</f>
        <v>0</v>
      </c>
      <c r="BD136" s="26">
        <f>G136/(100-BE136)*100</f>
        <v>0</v>
      </c>
      <c r="BE136" s="26">
        <v>0</v>
      </c>
      <c r="BF136" s="26">
        <f>L136</f>
        <v>26.497151999999996</v>
      </c>
      <c r="BH136" s="26">
        <f>F136*AO136</f>
        <v>0</v>
      </c>
      <c r="BI136" s="26">
        <f>F136*AP136</f>
        <v>0</v>
      </c>
      <c r="BJ136" s="26">
        <f>F136*G136</f>
        <v>0</v>
      </c>
    </row>
    <row r="137" spans="1:47" ht="12.75">
      <c r="A137" s="23"/>
      <c r="B137" s="24" t="s">
        <v>346</v>
      </c>
      <c r="C137" s="24" t="s">
        <v>379</v>
      </c>
      <c r="D137" s="24" t="s">
        <v>380</v>
      </c>
      <c r="E137" s="23" t="s">
        <v>4</v>
      </c>
      <c r="F137" s="23" t="s">
        <v>4</v>
      </c>
      <c r="G137" s="23"/>
      <c r="H137" s="25">
        <f>SUM(H138:H142)</f>
        <v>0</v>
      </c>
      <c r="I137" s="25">
        <f>SUM(I138:I142)</f>
        <v>0</v>
      </c>
      <c r="J137" s="25">
        <f>SUM(J138:J142)</f>
        <v>0</v>
      </c>
      <c r="K137" s="18"/>
      <c r="L137" s="25">
        <f>SUM(L138:L142)</f>
        <v>6.79809</v>
      </c>
      <c r="M137" s="18"/>
      <c r="AI137" s="18" t="s">
        <v>346</v>
      </c>
      <c r="AS137" s="25">
        <f>SUM(AJ138:AJ142)</f>
        <v>0</v>
      </c>
      <c r="AT137" s="25">
        <f>SUM(AK138:AK142)</f>
        <v>0</v>
      </c>
      <c r="AU137" s="25">
        <f>SUM(AL138:AL142)</f>
        <v>0</v>
      </c>
    </row>
    <row r="138" spans="1:62" ht="12.75">
      <c r="A138" s="3" t="s">
        <v>381</v>
      </c>
      <c r="B138" s="3" t="s">
        <v>346</v>
      </c>
      <c r="C138" s="3" t="s">
        <v>382</v>
      </c>
      <c r="D138" s="3" t="s">
        <v>383</v>
      </c>
      <c r="E138" s="3" t="s">
        <v>156</v>
      </c>
      <c r="F138" s="26">
        <v>19.5</v>
      </c>
      <c r="G138" s="26"/>
      <c r="H138" s="26">
        <f>F138*AO138</f>
        <v>0</v>
      </c>
      <c r="I138" s="26">
        <f>F138*AP138</f>
        <v>0</v>
      </c>
      <c r="J138" s="26">
        <f>F138*G138</f>
        <v>0</v>
      </c>
      <c r="K138" s="26">
        <v>0.267</v>
      </c>
      <c r="L138" s="26">
        <f>F138*K138</f>
        <v>5.2065</v>
      </c>
      <c r="M138" s="27" t="s">
        <v>55</v>
      </c>
      <c r="Z138" s="26">
        <f>IF(AQ138="5",BJ138,0)</f>
        <v>0</v>
      </c>
      <c r="AB138" s="26">
        <f>IF(AQ138="1",BH138,0)</f>
        <v>0</v>
      </c>
      <c r="AC138" s="26">
        <f>IF(AQ138="1",BI138,0)</f>
        <v>0</v>
      </c>
      <c r="AD138" s="26">
        <f>IF(AQ138="7",BH138,0)</f>
        <v>0</v>
      </c>
      <c r="AE138" s="26">
        <f>IF(AQ138="7",BI138,0)</f>
        <v>0</v>
      </c>
      <c r="AF138" s="26">
        <f>IF(AQ138="2",BH138,0)</f>
        <v>0</v>
      </c>
      <c r="AG138" s="26">
        <f>IF(AQ138="2",BI138,0)</f>
        <v>0</v>
      </c>
      <c r="AH138" s="26">
        <f>IF(AQ138="0",BJ138,0)</f>
        <v>0</v>
      </c>
      <c r="AI138" s="18" t="s">
        <v>346</v>
      </c>
      <c r="AJ138" s="26">
        <f>IF(AN138=0,J138,0)</f>
        <v>0</v>
      </c>
      <c r="AK138" s="26">
        <f>IF(AN138=15,J138,0)</f>
        <v>0</v>
      </c>
      <c r="AL138" s="26">
        <f>IF(AN138=21,J138,0)</f>
        <v>0</v>
      </c>
      <c r="AN138" s="26">
        <v>21</v>
      </c>
      <c r="AO138" s="26">
        <f>G138*0.650583703563664</f>
        <v>0</v>
      </c>
      <c r="AP138" s="26">
        <f>G138*(1-0.650583703563664)</f>
        <v>0</v>
      </c>
      <c r="AQ138" s="27" t="s">
        <v>51</v>
      </c>
      <c r="AV138" s="26">
        <f>AW138+AX138</f>
        <v>0</v>
      </c>
      <c r="AW138" s="26">
        <f>F138*AO138</f>
        <v>0</v>
      </c>
      <c r="AX138" s="26">
        <f>F138*AP138</f>
        <v>0</v>
      </c>
      <c r="AY138" s="27" t="s">
        <v>384</v>
      </c>
      <c r="AZ138" s="27" t="s">
        <v>385</v>
      </c>
      <c r="BA138" s="18" t="s">
        <v>354</v>
      </c>
      <c r="BC138" s="26">
        <f>AW138+AX138</f>
        <v>0</v>
      </c>
      <c r="BD138" s="26">
        <f>G138/(100-BE138)*100</f>
        <v>0</v>
      </c>
      <c r="BE138" s="26">
        <v>0</v>
      </c>
      <c r="BF138" s="26">
        <f>L138</f>
        <v>5.2065</v>
      </c>
      <c r="BH138" s="26">
        <f>F138*AO138</f>
        <v>0</v>
      </c>
      <c r="BI138" s="26">
        <f>F138*AP138</f>
        <v>0</v>
      </c>
      <c r="BJ138" s="26">
        <f>F138*G138</f>
        <v>0</v>
      </c>
    </row>
    <row r="139" ht="12.75">
      <c r="D139" s="2" t="s">
        <v>386</v>
      </c>
    </row>
    <row r="140" spans="1:62" ht="12.75">
      <c r="A140" s="3" t="s">
        <v>387</v>
      </c>
      <c r="B140" s="3" t="s">
        <v>346</v>
      </c>
      <c r="C140" s="3" t="s">
        <v>388</v>
      </c>
      <c r="D140" s="3" t="s">
        <v>389</v>
      </c>
      <c r="E140" s="3" t="s">
        <v>156</v>
      </c>
      <c r="F140" s="26">
        <v>7</v>
      </c>
      <c r="G140" s="26"/>
      <c r="H140" s="26">
        <f>F140*AO140</f>
        <v>0</v>
      </c>
      <c r="I140" s="26">
        <f>F140*AP140</f>
        <v>0</v>
      </c>
      <c r="J140" s="26">
        <f>F140*G140</f>
        <v>0</v>
      </c>
      <c r="K140" s="26">
        <v>0.22133</v>
      </c>
      <c r="L140" s="26">
        <f>F140*K140</f>
        <v>1.54931</v>
      </c>
      <c r="M140" s="27" t="s">
        <v>55</v>
      </c>
      <c r="Z140" s="26">
        <f>IF(AQ140="5",BJ140,0)</f>
        <v>0</v>
      </c>
      <c r="AB140" s="26">
        <f>IF(AQ140="1",BH140,0)</f>
        <v>0</v>
      </c>
      <c r="AC140" s="26">
        <f>IF(AQ140="1",BI140,0)</f>
        <v>0</v>
      </c>
      <c r="AD140" s="26">
        <f>IF(AQ140="7",BH140,0)</f>
        <v>0</v>
      </c>
      <c r="AE140" s="26">
        <f>IF(AQ140="7",BI140,0)</f>
        <v>0</v>
      </c>
      <c r="AF140" s="26">
        <f>IF(AQ140="2",BH140,0)</f>
        <v>0</v>
      </c>
      <c r="AG140" s="26">
        <f>IF(AQ140="2",BI140,0)</f>
        <v>0</v>
      </c>
      <c r="AH140" s="26">
        <f>IF(AQ140="0",BJ140,0)</f>
        <v>0</v>
      </c>
      <c r="AI140" s="18" t="s">
        <v>346</v>
      </c>
      <c r="AJ140" s="26">
        <f>IF(AN140=0,J140,0)</f>
        <v>0</v>
      </c>
      <c r="AK140" s="26">
        <f>IF(AN140=15,J140,0)</f>
        <v>0</v>
      </c>
      <c r="AL140" s="26">
        <f>IF(AN140=21,J140,0)</f>
        <v>0</v>
      </c>
      <c r="AN140" s="26">
        <v>21</v>
      </c>
      <c r="AO140" s="26">
        <f>G140*0.682069857697283</f>
        <v>0</v>
      </c>
      <c r="AP140" s="26">
        <f>G140*(1-0.682069857697283)</f>
        <v>0</v>
      </c>
      <c r="AQ140" s="27" t="s">
        <v>51</v>
      </c>
      <c r="AV140" s="26">
        <f>AW140+AX140</f>
        <v>0</v>
      </c>
      <c r="AW140" s="26">
        <f>F140*AO140</f>
        <v>0</v>
      </c>
      <c r="AX140" s="26">
        <f>F140*AP140</f>
        <v>0</v>
      </c>
      <c r="AY140" s="27" t="s">
        <v>384</v>
      </c>
      <c r="AZ140" s="27" t="s">
        <v>385</v>
      </c>
      <c r="BA140" s="18" t="s">
        <v>354</v>
      </c>
      <c r="BC140" s="26">
        <f>AW140+AX140</f>
        <v>0</v>
      </c>
      <c r="BD140" s="26">
        <f>G140/(100-BE140)*100</f>
        <v>0</v>
      </c>
      <c r="BE140" s="26">
        <v>0</v>
      </c>
      <c r="BF140" s="26">
        <f>L140</f>
        <v>1.54931</v>
      </c>
      <c r="BH140" s="26">
        <f>F140*AO140</f>
        <v>0</v>
      </c>
      <c r="BI140" s="26">
        <f>F140*AP140</f>
        <v>0</v>
      </c>
      <c r="BJ140" s="26">
        <f>F140*G140</f>
        <v>0</v>
      </c>
    </row>
    <row r="141" ht="12.75">
      <c r="D141" s="2" t="s">
        <v>390</v>
      </c>
    </row>
    <row r="142" spans="1:62" ht="12.75">
      <c r="A142" s="3" t="s">
        <v>391</v>
      </c>
      <c r="B142" s="3" t="s">
        <v>346</v>
      </c>
      <c r="C142" s="3" t="s">
        <v>392</v>
      </c>
      <c r="D142" s="3" t="s">
        <v>393</v>
      </c>
      <c r="E142" s="3" t="s">
        <v>133</v>
      </c>
      <c r="F142" s="26">
        <v>2</v>
      </c>
      <c r="G142" s="26"/>
      <c r="H142" s="26">
        <f>F142*AO142</f>
        <v>0</v>
      </c>
      <c r="I142" s="26">
        <f>F142*AP142</f>
        <v>0</v>
      </c>
      <c r="J142" s="26">
        <f>F142*G142</f>
        <v>0</v>
      </c>
      <c r="K142" s="26">
        <v>0.02114</v>
      </c>
      <c r="L142" s="26">
        <f>F142*K142</f>
        <v>0.04228</v>
      </c>
      <c r="M142" s="27" t="s">
        <v>55</v>
      </c>
      <c r="Z142" s="26">
        <f>IF(AQ142="5",BJ142,0)</f>
        <v>0</v>
      </c>
      <c r="AB142" s="26">
        <f>IF(AQ142="1",BH142,0)</f>
        <v>0</v>
      </c>
      <c r="AC142" s="26">
        <f>IF(AQ142="1",BI142,0)</f>
        <v>0</v>
      </c>
      <c r="AD142" s="26">
        <f>IF(AQ142="7",BH142,0)</f>
        <v>0</v>
      </c>
      <c r="AE142" s="26">
        <f>IF(AQ142="7",BI142,0)</f>
        <v>0</v>
      </c>
      <c r="AF142" s="26">
        <f>IF(AQ142="2",BH142,0)</f>
        <v>0</v>
      </c>
      <c r="AG142" s="26">
        <f>IF(AQ142="2",BI142,0)</f>
        <v>0</v>
      </c>
      <c r="AH142" s="26">
        <f>IF(AQ142="0",BJ142,0)</f>
        <v>0</v>
      </c>
      <c r="AI142" s="18" t="s">
        <v>346</v>
      </c>
      <c r="AJ142" s="26">
        <f>IF(AN142=0,J142,0)</f>
        <v>0</v>
      </c>
      <c r="AK142" s="26">
        <f>IF(AN142=15,J142,0)</f>
        <v>0</v>
      </c>
      <c r="AL142" s="26">
        <f>IF(AN142=21,J142,0)</f>
        <v>0</v>
      </c>
      <c r="AN142" s="26">
        <v>21</v>
      </c>
      <c r="AO142" s="26">
        <f>G142*0.840553281008826</f>
        <v>0</v>
      </c>
      <c r="AP142" s="26">
        <f>G142*(1-0.840553281008826)</f>
        <v>0</v>
      </c>
      <c r="AQ142" s="27" t="s">
        <v>51</v>
      </c>
      <c r="AV142" s="26">
        <f>AW142+AX142</f>
        <v>0</v>
      </c>
      <c r="AW142" s="26">
        <f>F142*AO142</f>
        <v>0</v>
      </c>
      <c r="AX142" s="26">
        <f>F142*AP142</f>
        <v>0</v>
      </c>
      <c r="AY142" s="27" t="s">
        <v>384</v>
      </c>
      <c r="AZ142" s="27" t="s">
        <v>385</v>
      </c>
      <c r="BA142" s="18" t="s">
        <v>354</v>
      </c>
      <c r="BC142" s="26">
        <f>AW142+AX142</f>
        <v>0</v>
      </c>
      <c r="BD142" s="26">
        <f>G142/(100-BE142)*100</f>
        <v>0</v>
      </c>
      <c r="BE142" s="26">
        <v>0</v>
      </c>
      <c r="BF142" s="26">
        <f>L142</f>
        <v>0.04228</v>
      </c>
      <c r="BH142" s="26">
        <f>F142*AO142</f>
        <v>0</v>
      </c>
      <c r="BI142" s="26">
        <f>F142*AP142</f>
        <v>0</v>
      </c>
      <c r="BJ142" s="26">
        <f>F142*G142</f>
        <v>0</v>
      </c>
    </row>
    <row r="143" spans="1:47" ht="12.75">
      <c r="A143" s="23"/>
      <c r="B143" s="24" t="s">
        <v>346</v>
      </c>
      <c r="C143" s="24" t="s">
        <v>394</v>
      </c>
      <c r="D143" s="24" t="s">
        <v>395</v>
      </c>
      <c r="E143" s="23" t="s">
        <v>4</v>
      </c>
      <c r="F143" s="23" t="s">
        <v>4</v>
      </c>
      <c r="G143" s="23"/>
      <c r="H143" s="25">
        <f>SUM(H144:H144)</f>
        <v>0</v>
      </c>
      <c r="I143" s="25">
        <f>SUM(I144:I144)</f>
        <v>0</v>
      </c>
      <c r="J143" s="25">
        <f>SUM(J144:J144)</f>
        <v>0</v>
      </c>
      <c r="K143" s="18"/>
      <c r="L143" s="25">
        <f>SUM(L144:L144)</f>
        <v>0</v>
      </c>
      <c r="M143" s="18"/>
      <c r="AI143" s="18" t="s">
        <v>346</v>
      </c>
      <c r="AS143" s="25">
        <f>SUM(AJ144:AJ144)</f>
        <v>0</v>
      </c>
      <c r="AT143" s="25">
        <f>SUM(AK144:AK144)</f>
        <v>0</v>
      </c>
      <c r="AU143" s="25">
        <f>SUM(AL144:AL144)</f>
        <v>0</v>
      </c>
    </row>
    <row r="144" spans="1:62" ht="12.75">
      <c r="A144" s="28" t="s">
        <v>396</v>
      </c>
      <c r="B144" s="28" t="s">
        <v>346</v>
      </c>
      <c r="C144" s="28" t="s">
        <v>397</v>
      </c>
      <c r="D144" s="28" t="s">
        <v>398</v>
      </c>
      <c r="E144" s="28" t="s">
        <v>111</v>
      </c>
      <c r="F144" s="29">
        <v>155.79</v>
      </c>
      <c r="G144" s="29"/>
      <c r="H144" s="29">
        <f>F144*AO144</f>
        <v>0</v>
      </c>
      <c r="I144" s="29">
        <f>F144*AP144</f>
        <v>0</v>
      </c>
      <c r="J144" s="29">
        <f>F144*G144</f>
        <v>0</v>
      </c>
      <c r="K144" s="29">
        <v>0</v>
      </c>
      <c r="L144" s="29">
        <f>F144*K144</f>
        <v>0</v>
      </c>
      <c r="M144" s="30" t="s">
        <v>55</v>
      </c>
      <c r="Z144" s="26">
        <f>IF(AQ144="5",BJ144,0)</f>
        <v>0</v>
      </c>
      <c r="AB144" s="26">
        <f>IF(AQ144="1",BH144,0)</f>
        <v>0</v>
      </c>
      <c r="AC144" s="26">
        <f>IF(AQ144="1",BI144,0)</f>
        <v>0</v>
      </c>
      <c r="AD144" s="26">
        <f>IF(AQ144="7",BH144,0)</f>
        <v>0</v>
      </c>
      <c r="AE144" s="26">
        <f>IF(AQ144="7",BI144,0)</f>
        <v>0</v>
      </c>
      <c r="AF144" s="26">
        <f>IF(AQ144="2",BH144,0)</f>
        <v>0</v>
      </c>
      <c r="AG144" s="26">
        <f>IF(AQ144="2",BI144,0)</f>
        <v>0</v>
      </c>
      <c r="AH144" s="26">
        <f>IF(AQ144="0",BJ144,0)</f>
        <v>0</v>
      </c>
      <c r="AI144" s="18" t="s">
        <v>346</v>
      </c>
      <c r="AJ144" s="26">
        <f>IF(AN144=0,J144,0)</f>
        <v>0</v>
      </c>
      <c r="AK144" s="26">
        <f>IF(AN144=15,J144,0)</f>
        <v>0</v>
      </c>
      <c r="AL144" s="26">
        <f>IF(AN144=21,J144,0)</f>
        <v>0</v>
      </c>
      <c r="AN144" s="26">
        <v>21</v>
      </c>
      <c r="AO144" s="26">
        <f>G144*0</f>
        <v>0</v>
      </c>
      <c r="AP144" s="26">
        <f>G144*(1-0)</f>
        <v>0</v>
      </c>
      <c r="AQ144" s="27" t="s">
        <v>74</v>
      </c>
      <c r="AV144" s="26">
        <f>AW144+AX144</f>
        <v>0</v>
      </c>
      <c r="AW144" s="26">
        <f>F144*AO144</f>
        <v>0</v>
      </c>
      <c r="AX144" s="26">
        <f>F144*AP144</f>
        <v>0</v>
      </c>
      <c r="AY144" s="27" t="s">
        <v>399</v>
      </c>
      <c r="AZ144" s="27" t="s">
        <v>385</v>
      </c>
      <c r="BA144" s="18" t="s">
        <v>354</v>
      </c>
      <c r="BC144" s="26">
        <f>AW144+AX144</f>
        <v>0</v>
      </c>
      <c r="BD144" s="26">
        <f>G144/(100-BE144)*100</f>
        <v>0</v>
      </c>
      <c r="BE144" s="26">
        <v>0</v>
      </c>
      <c r="BF144" s="26">
        <f>L144</f>
        <v>0</v>
      </c>
      <c r="BH144" s="26">
        <f>F144*AO144</f>
        <v>0</v>
      </c>
      <c r="BI144" s="26">
        <f>F144*AP144</f>
        <v>0</v>
      </c>
      <c r="BJ144" s="26">
        <f>F144*G144</f>
        <v>0</v>
      </c>
    </row>
    <row r="145" spans="1:13" ht="12.75">
      <c r="A145" s="31"/>
      <c r="B145" s="31"/>
      <c r="C145" s="31"/>
      <c r="D145" s="31"/>
      <c r="E145" s="31"/>
      <c r="F145" s="31"/>
      <c r="G145" s="31"/>
      <c r="H145" s="76" t="s">
        <v>400</v>
      </c>
      <c r="I145" s="76"/>
      <c r="J145" s="32">
        <f>J13+J16+J18+J22+J24+J33+J46+J48+J50+J52+J55+J57+J67+J71+J74+J81+J83+J88+J93+J99+J102+J104+J106+J108+J114+J120+J122+J124+J127+J129+J134+J137+J143</f>
        <v>0</v>
      </c>
      <c r="K145" s="31"/>
      <c r="L145" s="31"/>
      <c r="M145" s="31"/>
    </row>
    <row r="146" ht="11.25" customHeight="1">
      <c r="A146" s="33" t="s">
        <v>401</v>
      </c>
    </row>
    <row r="147" spans="1:13" ht="12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</row>
  </sheetData>
  <sheetProtection selectLockedCells="1" selectUnlockedCells="1"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145:I145"/>
    <mergeCell ref="A147:M147"/>
    <mergeCell ref="A8:C9"/>
    <mergeCell ref="D8:D9"/>
    <mergeCell ref="E8:F9"/>
    <mergeCell ref="G8:G9"/>
    <mergeCell ref="H8:H9"/>
    <mergeCell ref="I8:M9"/>
  </mergeCells>
  <printOptions/>
  <pageMargins left="0.39375" right="0.39375" top="0.5909722222222222" bottom="0.5909722222222222" header="0.5118055555555555" footer="0.5118055555555555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K7" sqref="K7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1.57421875" style="0" hidden="1" customWidth="1"/>
  </cols>
  <sheetData>
    <row r="1" spans="1:7" ht="72.75" customHeight="1">
      <c r="A1" s="85" t="s">
        <v>402</v>
      </c>
      <c r="B1" s="85"/>
      <c r="C1" s="85"/>
      <c r="D1" s="85"/>
      <c r="E1" s="85"/>
      <c r="F1" s="85"/>
      <c r="G1" s="85"/>
    </row>
    <row r="2" spans="1:8" ht="12.75" customHeight="1">
      <c r="A2" s="86" t="s">
        <v>1</v>
      </c>
      <c r="B2" s="87" t="str">
        <f>'Stavební rozpočet'!D2</f>
        <v>Výtah OÚ Malšice</v>
      </c>
      <c r="C2" s="87"/>
      <c r="D2" s="89" t="s">
        <v>5</v>
      </c>
      <c r="E2" s="93" t="str">
        <f>'Stavební rozpočet'!I2</f>
        <v> </v>
      </c>
      <c r="F2" s="93"/>
      <c r="G2" s="93"/>
      <c r="H2" s="1"/>
    </row>
    <row r="3" spans="1:8" ht="12.75">
      <c r="A3" s="86"/>
      <c r="B3" s="87"/>
      <c r="C3" s="87"/>
      <c r="D3" s="89"/>
      <c r="E3" s="89"/>
      <c r="F3" s="93"/>
      <c r="G3" s="93"/>
      <c r="H3" s="1"/>
    </row>
    <row r="4" spans="1:8" ht="12.75" customHeight="1">
      <c r="A4" s="82" t="s">
        <v>7</v>
      </c>
      <c r="B4" s="77" t="str">
        <f>'Stavební rozpočet'!D4</f>
        <v> </v>
      </c>
      <c r="C4" s="77"/>
      <c r="D4" s="77" t="s">
        <v>10</v>
      </c>
      <c r="E4" s="91" t="str">
        <f>'Stavební rozpočet'!I4</f>
        <v> Ing. arch. Jiří Neužil</v>
      </c>
      <c r="F4" s="91"/>
      <c r="G4" s="91"/>
      <c r="H4" s="1"/>
    </row>
    <row r="5" spans="1:8" ht="12.75">
      <c r="A5" s="82"/>
      <c r="B5" s="77"/>
      <c r="C5" s="77"/>
      <c r="D5" s="77"/>
      <c r="E5" s="77"/>
      <c r="F5" s="91"/>
      <c r="G5" s="91"/>
      <c r="H5" s="1"/>
    </row>
    <row r="6" spans="1:8" ht="12.75" customHeight="1">
      <c r="A6" s="82" t="s">
        <v>11</v>
      </c>
      <c r="B6" s="77" t="str">
        <f>'Stavební rozpočet'!D6</f>
        <v>Malšice</v>
      </c>
      <c r="C6" s="77"/>
      <c r="D6" s="77" t="s">
        <v>14</v>
      </c>
      <c r="E6" s="91" t="str">
        <f>'Stavební rozpočet'!I6</f>
        <v> </v>
      </c>
      <c r="F6" s="91"/>
      <c r="G6" s="91"/>
      <c r="H6" s="1"/>
    </row>
    <row r="7" spans="1:8" ht="12.75">
      <c r="A7" s="82"/>
      <c r="B7" s="77"/>
      <c r="C7" s="77"/>
      <c r="D7" s="77"/>
      <c r="E7" s="77"/>
      <c r="F7" s="91"/>
      <c r="G7" s="91"/>
      <c r="H7" s="1"/>
    </row>
    <row r="8" spans="1:8" ht="12.75" customHeight="1">
      <c r="A8" s="78" t="s">
        <v>17</v>
      </c>
      <c r="B8" s="79" t="str">
        <f>'Stavební rozpočet'!I8</f>
        <v> </v>
      </c>
      <c r="C8" s="79"/>
      <c r="D8" s="80" t="s">
        <v>16</v>
      </c>
      <c r="E8" s="92" t="str">
        <f>'Stavební rozpočet'!G8</f>
        <v>13.05.2019</v>
      </c>
      <c r="F8" s="92"/>
      <c r="G8" s="92"/>
      <c r="H8" s="1"/>
    </row>
    <row r="9" spans="1:8" ht="12.75">
      <c r="A9" s="78"/>
      <c r="B9" s="79"/>
      <c r="C9" s="79"/>
      <c r="D9" s="80"/>
      <c r="E9" s="80"/>
      <c r="F9" s="92"/>
      <c r="G9" s="92"/>
      <c r="H9" s="1"/>
    </row>
    <row r="10" spans="1:8" ht="12.75">
      <c r="A10" s="34" t="s">
        <v>19</v>
      </c>
      <c r="B10" s="35" t="s">
        <v>20</v>
      </c>
      <c r="C10" s="36" t="s">
        <v>403</v>
      </c>
      <c r="D10" s="37" t="s">
        <v>404</v>
      </c>
      <c r="E10" s="37" t="s">
        <v>405</v>
      </c>
      <c r="F10" s="37" t="s">
        <v>406</v>
      </c>
      <c r="G10" s="38" t="s">
        <v>407</v>
      </c>
      <c r="H10" s="9"/>
    </row>
    <row r="11" spans="1:9" ht="12.75">
      <c r="A11" s="39" t="s">
        <v>47</v>
      </c>
      <c r="B11" s="39"/>
      <c r="C11" s="39" t="s">
        <v>48</v>
      </c>
      <c r="D11" s="40">
        <f>'Stavební rozpočet'!H12</f>
        <v>0</v>
      </c>
      <c r="E11" s="40">
        <f>'Stavební rozpočet'!I12</f>
        <v>0</v>
      </c>
      <c r="F11" s="40">
        <f>'Stavební rozpočet'!J12</f>
        <v>0</v>
      </c>
      <c r="G11" s="40">
        <f>'Stavební rozpočet'!L12</f>
        <v>18.2719529751</v>
      </c>
      <c r="H11" s="26" t="s">
        <v>408</v>
      </c>
      <c r="I11" s="26">
        <f aca="true" t="shared" si="0" ref="I11:I45">IF(H11="F",0,F11)</f>
        <v>0</v>
      </c>
    </row>
    <row r="12" spans="1:9" ht="12.75">
      <c r="A12" s="3" t="s">
        <v>47</v>
      </c>
      <c r="B12" s="3" t="s">
        <v>49</v>
      </c>
      <c r="C12" s="3" t="s">
        <v>50</v>
      </c>
      <c r="D12" s="26">
        <f>'Stavební rozpočet'!H13</f>
        <v>0</v>
      </c>
      <c r="E12" s="26">
        <f>'Stavební rozpočet'!I13</f>
        <v>0</v>
      </c>
      <c r="F12" s="26">
        <f>'Stavební rozpočet'!J13</f>
        <v>0</v>
      </c>
      <c r="G12" s="26">
        <f>'Stavební rozpočet'!L13</f>
        <v>0</v>
      </c>
      <c r="H12" s="26" t="s">
        <v>409</v>
      </c>
      <c r="I12" s="26">
        <f t="shared" si="0"/>
        <v>0</v>
      </c>
    </row>
    <row r="13" spans="1:9" ht="12.75">
      <c r="A13" s="3" t="s">
        <v>47</v>
      </c>
      <c r="B13" s="3" t="s">
        <v>62</v>
      </c>
      <c r="C13" s="3" t="s">
        <v>63</v>
      </c>
      <c r="D13" s="26">
        <f>'Stavební rozpočet'!H16</f>
        <v>0</v>
      </c>
      <c r="E13" s="26">
        <f>'Stavební rozpočet'!I16</f>
        <v>0</v>
      </c>
      <c r="F13" s="26">
        <f>'Stavební rozpočet'!J16</f>
        <v>0</v>
      </c>
      <c r="G13" s="26">
        <f>'Stavební rozpočet'!L16</f>
        <v>0</v>
      </c>
      <c r="H13" s="26" t="s">
        <v>409</v>
      </c>
      <c r="I13" s="26">
        <f t="shared" si="0"/>
        <v>0</v>
      </c>
    </row>
    <row r="14" spans="1:9" ht="12.75">
      <c r="A14" s="3" t="s">
        <v>47</v>
      </c>
      <c r="B14" s="3" t="s">
        <v>68</v>
      </c>
      <c r="C14" s="3" t="s">
        <v>69</v>
      </c>
      <c r="D14" s="26">
        <f>'Stavební rozpočet'!H18</f>
        <v>0</v>
      </c>
      <c r="E14" s="26">
        <f>'Stavební rozpočet'!I18</f>
        <v>0</v>
      </c>
      <c r="F14" s="26">
        <f>'Stavební rozpočet'!J18</f>
        <v>0</v>
      </c>
      <c r="G14" s="26">
        <f>'Stavební rozpočet'!L18</f>
        <v>0</v>
      </c>
      <c r="H14" s="26" t="s">
        <v>409</v>
      </c>
      <c r="I14" s="26">
        <f t="shared" si="0"/>
        <v>0</v>
      </c>
    </row>
    <row r="15" spans="1:9" ht="12.75">
      <c r="A15" s="3" t="s">
        <v>47</v>
      </c>
      <c r="B15" s="3" t="s">
        <v>79</v>
      </c>
      <c r="C15" s="3" t="s">
        <v>80</v>
      </c>
      <c r="D15" s="26">
        <f>'Stavební rozpočet'!H22</f>
        <v>0</v>
      </c>
      <c r="E15" s="26">
        <f>'Stavební rozpočet'!I22</f>
        <v>0</v>
      </c>
      <c r="F15" s="26">
        <f>'Stavební rozpočet'!J22</f>
        <v>0</v>
      </c>
      <c r="G15" s="26">
        <f>'Stavební rozpočet'!L22</f>
        <v>0</v>
      </c>
      <c r="H15" s="26" t="s">
        <v>409</v>
      </c>
      <c r="I15" s="26">
        <f t="shared" si="0"/>
        <v>0</v>
      </c>
    </row>
    <row r="16" spans="1:9" ht="12.75">
      <c r="A16" s="3" t="s">
        <v>47</v>
      </c>
      <c r="B16" s="3" t="s">
        <v>86</v>
      </c>
      <c r="C16" s="3" t="s">
        <v>87</v>
      </c>
      <c r="D16" s="26">
        <f>'Stavební rozpočet'!H24</f>
        <v>0</v>
      </c>
      <c r="E16" s="26">
        <f>'Stavební rozpočet'!I24</f>
        <v>0</v>
      </c>
      <c r="F16" s="26">
        <f>'Stavební rozpočet'!J24</f>
        <v>0</v>
      </c>
      <c r="G16" s="26">
        <f>'Stavební rozpočet'!L24</f>
        <v>6.606212365999999</v>
      </c>
      <c r="H16" s="26" t="s">
        <v>409</v>
      </c>
      <c r="I16" s="26">
        <f t="shared" si="0"/>
        <v>0</v>
      </c>
    </row>
    <row r="17" spans="1:9" ht="12.75">
      <c r="A17" s="3" t="s">
        <v>47</v>
      </c>
      <c r="B17" s="3" t="s">
        <v>112</v>
      </c>
      <c r="C17" s="3" t="s">
        <v>113</v>
      </c>
      <c r="D17" s="26">
        <f>'Stavební rozpočet'!H33</f>
        <v>0</v>
      </c>
      <c r="E17" s="26">
        <f>'Stavební rozpočet'!I33</f>
        <v>0</v>
      </c>
      <c r="F17" s="26">
        <f>'Stavební rozpočet'!J33</f>
        <v>0</v>
      </c>
      <c r="G17" s="26">
        <f>'Stavební rozpočet'!L33</f>
        <v>3.8377078051000004</v>
      </c>
      <c r="H17" s="26" t="s">
        <v>409</v>
      </c>
      <c r="I17" s="26">
        <f t="shared" si="0"/>
        <v>0</v>
      </c>
    </row>
    <row r="18" spans="1:9" ht="12.75">
      <c r="A18" s="3" t="s">
        <v>47</v>
      </c>
      <c r="B18" s="3" t="s">
        <v>138</v>
      </c>
      <c r="C18" s="3" t="s">
        <v>139</v>
      </c>
      <c r="D18" s="26">
        <f>'Stavební rozpočet'!H46</f>
        <v>0</v>
      </c>
      <c r="E18" s="26">
        <f>'Stavební rozpočet'!I46</f>
        <v>0</v>
      </c>
      <c r="F18" s="26">
        <f>'Stavební rozpočet'!J46</f>
        <v>0</v>
      </c>
      <c r="G18" s="26">
        <f>'Stavební rozpočet'!L46</f>
        <v>0.16893599999999998</v>
      </c>
      <c r="H18" s="26" t="s">
        <v>409</v>
      </c>
      <c r="I18" s="26">
        <f t="shared" si="0"/>
        <v>0</v>
      </c>
    </row>
    <row r="19" spans="1:9" ht="12.75">
      <c r="A19" s="3" t="s">
        <v>47</v>
      </c>
      <c r="B19" s="3" t="s">
        <v>144</v>
      </c>
      <c r="C19" s="3" t="s">
        <v>145</v>
      </c>
      <c r="D19" s="26">
        <f>'Stavební rozpočet'!H48</f>
        <v>0</v>
      </c>
      <c r="E19" s="26">
        <f>'Stavební rozpočet'!I48</f>
        <v>0</v>
      </c>
      <c r="F19" s="26">
        <f>'Stavební rozpočet'!J48</f>
        <v>0</v>
      </c>
      <c r="G19" s="26">
        <f>'Stavební rozpočet'!L48</f>
        <v>0.407592</v>
      </c>
      <c r="H19" s="26" t="s">
        <v>409</v>
      </c>
      <c r="I19" s="26">
        <f t="shared" si="0"/>
        <v>0</v>
      </c>
    </row>
    <row r="20" spans="1:9" ht="12.75">
      <c r="A20" s="3" t="s">
        <v>47</v>
      </c>
      <c r="B20" s="3" t="s">
        <v>151</v>
      </c>
      <c r="C20" s="3" t="s">
        <v>152</v>
      </c>
      <c r="D20" s="26">
        <f>'Stavební rozpočet'!H50</f>
        <v>0</v>
      </c>
      <c r="E20" s="26">
        <f>'Stavební rozpočet'!I50</f>
        <v>0</v>
      </c>
      <c r="F20" s="26">
        <f>'Stavební rozpočet'!J50</f>
        <v>0</v>
      </c>
      <c r="G20" s="26">
        <f>'Stavební rozpočet'!L50</f>
        <v>0.3528</v>
      </c>
      <c r="H20" s="26" t="s">
        <v>409</v>
      </c>
      <c r="I20" s="26">
        <f t="shared" si="0"/>
        <v>0</v>
      </c>
    </row>
    <row r="21" spans="1:9" ht="12.75">
      <c r="A21" s="3" t="s">
        <v>47</v>
      </c>
      <c r="B21" s="3" t="s">
        <v>159</v>
      </c>
      <c r="C21" s="3" t="s">
        <v>160</v>
      </c>
      <c r="D21" s="26">
        <f>'Stavební rozpočet'!H52</f>
        <v>0</v>
      </c>
      <c r="E21" s="26">
        <f>'Stavební rozpočet'!I52</f>
        <v>0</v>
      </c>
      <c r="F21" s="26">
        <f>'Stavební rozpočet'!J52</f>
        <v>0</v>
      </c>
      <c r="G21" s="26">
        <f>'Stavební rozpočet'!L52</f>
        <v>0.6738500000000001</v>
      </c>
      <c r="H21" s="26" t="s">
        <v>409</v>
      </c>
      <c r="I21" s="26">
        <f t="shared" si="0"/>
        <v>0</v>
      </c>
    </row>
    <row r="22" spans="1:9" ht="12.75">
      <c r="A22" s="3" t="s">
        <v>47</v>
      </c>
      <c r="B22" s="3" t="s">
        <v>169</v>
      </c>
      <c r="C22" s="3" t="s">
        <v>170</v>
      </c>
      <c r="D22" s="26">
        <f>'Stavební rozpočet'!H55</f>
        <v>0</v>
      </c>
      <c r="E22" s="26">
        <f>'Stavební rozpočet'!I55</f>
        <v>0</v>
      </c>
      <c r="F22" s="26">
        <f>'Stavební rozpočet'!J55</f>
        <v>0</v>
      </c>
      <c r="G22" s="26">
        <f>'Stavební rozpočet'!L55</f>
        <v>0.017854019999999998</v>
      </c>
      <c r="H22" s="26" t="s">
        <v>409</v>
      </c>
      <c r="I22" s="26">
        <f t="shared" si="0"/>
        <v>0</v>
      </c>
    </row>
    <row r="23" spans="1:9" ht="12.75">
      <c r="A23" s="3" t="s">
        <v>47</v>
      </c>
      <c r="B23" s="3" t="s">
        <v>174</v>
      </c>
      <c r="C23" s="3" t="s">
        <v>175</v>
      </c>
      <c r="D23" s="26">
        <f>'Stavební rozpočet'!H57</f>
        <v>0</v>
      </c>
      <c r="E23" s="26">
        <f>'Stavební rozpočet'!I57</f>
        <v>0</v>
      </c>
      <c r="F23" s="26">
        <f>'Stavební rozpočet'!J57</f>
        <v>0</v>
      </c>
      <c r="G23" s="26">
        <f>'Stavební rozpočet'!L57</f>
        <v>0.08337586400000001</v>
      </c>
      <c r="H23" s="26" t="s">
        <v>409</v>
      </c>
      <c r="I23" s="26">
        <f t="shared" si="0"/>
        <v>0</v>
      </c>
    </row>
    <row r="24" spans="1:9" ht="12.75">
      <c r="A24" s="3" t="s">
        <v>47</v>
      </c>
      <c r="B24" s="3" t="s">
        <v>195</v>
      </c>
      <c r="C24" s="3" t="s">
        <v>196</v>
      </c>
      <c r="D24" s="26">
        <f>'Stavební rozpočet'!H67</f>
        <v>0</v>
      </c>
      <c r="E24" s="26">
        <f>'Stavební rozpočet'!I67</f>
        <v>0</v>
      </c>
      <c r="F24" s="26">
        <f>'Stavební rozpočet'!J67</f>
        <v>0</v>
      </c>
      <c r="G24" s="26">
        <f>'Stavební rozpočet'!L67</f>
        <v>0.041207400000000005</v>
      </c>
      <c r="H24" s="26" t="s">
        <v>409</v>
      </c>
      <c r="I24" s="26">
        <f t="shared" si="0"/>
        <v>0</v>
      </c>
    </row>
    <row r="25" spans="1:9" ht="12.75">
      <c r="A25" s="3" t="s">
        <v>47</v>
      </c>
      <c r="B25" s="3" t="s">
        <v>206</v>
      </c>
      <c r="C25" s="3" t="s">
        <v>207</v>
      </c>
      <c r="D25" s="26">
        <f>'Stavební rozpočet'!H71</f>
        <v>0</v>
      </c>
      <c r="E25" s="26">
        <f>'Stavební rozpočet'!I71</f>
        <v>0</v>
      </c>
      <c r="F25" s="26">
        <f>'Stavební rozpočet'!J71</f>
        <v>0</v>
      </c>
      <c r="G25" s="26">
        <f>'Stavební rozpočet'!L71</f>
        <v>0.0188</v>
      </c>
      <c r="H25" s="26" t="s">
        <v>409</v>
      </c>
      <c r="I25" s="26">
        <f t="shared" si="0"/>
        <v>0</v>
      </c>
    </row>
    <row r="26" spans="1:9" ht="12.75">
      <c r="A26" s="3" t="s">
        <v>47</v>
      </c>
      <c r="B26" s="3" t="s">
        <v>217</v>
      </c>
      <c r="C26" s="3" t="s">
        <v>218</v>
      </c>
      <c r="D26" s="26">
        <f>'Stavební rozpočet'!H74</f>
        <v>0</v>
      </c>
      <c r="E26" s="26">
        <f>'Stavební rozpočet'!I74</f>
        <v>0</v>
      </c>
      <c r="F26" s="26">
        <f>'Stavební rozpočet'!J74</f>
        <v>0</v>
      </c>
      <c r="G26" s="26">
        <f>'Stavební rozpočet'!L74</f>
        <v>0.06251999999999999</v>
      </c>
      <c r="H26" s="26" t="s">
        <v>409</v>
      </c>
      <c r="I26" s="26">
        <f t="shared" si="0"/>
        <v>0</v>
      </c>
    </row>
    <row r="27" spans="1:9" ht="12.75">
      <c r="A27" s="3" t="s">
        <v>47</v>
      </c>
      <c r="B27" s="3" t="s">
        <v>239</v>
      </c>
      <c r="C27" s="3" t="s">
        <v>240</v>
      </c>
      <c r="D27" s="26">
        <f>'Stavební rozpočet'!H81</f>
        <v>0</v>
      </c>
      <c r="E27" s="26">
        <f>'Stavební rozpočet'!I81</f>
        <v>0</v>
      </c>
      <c r="F27" s="26">
        <f>'Stavební rozpočet'!J81</f>
        <v>0</v>
      </c>
      <c r="G27" s="26">
        <f>'Stavební rozpočet'!L81</f>
        <v>0.011000000000000001</v>
      </c>
      <c r="H27" s="26" t="s">
        <v>409</v>
      </c>
      <c r="I27" s="26">
        <f t="shared" si="0"/>
        <v>0</v>
      </c>
    </row>
    <row r="28" spans="1:9" ht="12.75">
      <c r="A28" s="3" t="s">
        <v>47</v>
      </c>
      <c r="B28" s="3" t="s">
        <v>246</v>
      </c>
      <c r="C28" s="3" t="s">
        <v>247</v>
      </c>
      <c r="D28" s="26">
        <f>'Stavební rozpočet'!H83</f>
        <v>0</v>
      </c>
      <c r="E28" s="26">
        <f>'Stavební rozpočet'!I83</f>
        <v>0</v>
      </c>
      <c r="F28" s="26">
        <f>'Stavební rozpočet'!J83</f>
        <v>0</v>
      </c>
      <c r="G28" s="26">
        <f>'Stavební rozpočet'!L83</f>
        <v>0.09164</v>
      </c>
      <c r="H28" s="26" t="s">
        <v>409</v>
      </c>
      <c r="I28" s="26">
        <f t="shared" si="0"/>
        <v>0</v>
      </c>
    </row>
    <row r="29" spans="1:9" ht="12.75">
      <c r="A29" s="3" t="s">
        <v>47</v>
      </c>
      <c r="B29" s="3" t="s">
        <v>259</v>
      </c>
      <c r="C29" s="3" t="s">
        <v>260</v>
      </c>
      <c r="D29" s="26">
        <f>'Stavební rozpočet'!H88</f>
        <v>0</v>
      </c>
      <c r="E29" s="26">
        <f>'Stavební rozpočet'!I88</f>
        <v>0</v>
      </c>
      <c r="F29" s="26">
        <f>'Stavební rozpočet'!J88</f>
        <v>0</v>
      </c>
      <c r="G29" s="26">
        <f>'Stavební rozpočet'!L88</f>
        <v>0.29362</v>
      </c>
      <c r="H29" s="26" t="s">
        <v>409</v>
      </c>
      <c r="I29" s="26">
        <f t="shared" si="0"/>
        <v>0</v>
      </c>
    </row>
    <row r="30" spans="1:9" ht="12.75">
      <c r="A30" s="3" t="s">
        <v>47</v>
      </c>
      <c r="B30" s="3" t="s">
        <v>275</v>
      </c>
      <c r="C30" s="3" t="s">
        <v>276</v>
      </c>
      <c r="D30" s="26">
        <f>'Stavební rozpočet'!H93</f>
        <v>0</v>
      </c>
      <c r="E30" s="26">
        <f>'Stavební rozpočet'!I93</f>
        <v>0</v>
      </c>
      <c r="F30" s="26">
        <f>'Stavební rozpočet'!J93</f>
        <v>0</v>
      </c>
      <c r="G30" s="26">
        <f>'Stavební rozpočet'!L93</f>
        <v>4.93001752</v>
      </c>
      <c r="H30" s="26" t="s">
        <v>409</v>
      </c>
      <c r="I30" s="26">
        <f t="shared" si="0"/>
        <v>0</v>
      </c>
    </row>
    <row r="31" spans="1:9" ht="12.75">
      <c r="A31" s="3" t="s">
        <v>47</v>
      </c>
      <c r="B31" s="3" t="s">
        <v>293</v>
      </c>
      <c r="C31" s="3" t="s">
        <v>294</v>
      </c>
      <c r="D31" s="26">
        <f>'Stavební rozpočet'!H99</f>
        <v>0</v>
      </c>
      <c r="E31" s="26">
        <f>'Stavební rozpočet'!I99</f>
        <v>0</v>
      </c>
      <c r="F31" s="26">
        <f>'Stavební rozpočet'!J99</f>
        <v>0</v>
      </c>
      <c r="G31" s="26">
        <f>'Stavební rozpočet'!L99</f>
        <v>0.67482</v>
      </c>
      <c r="H31" s="26" t="s">
        <v>409</v>
      </c>
      <c r="I31" s="26">
        <f t="shared" si="0"/>
        <v>0</v>
      </c>
    </row>
    <row r="32" spans="1:9" ht="12.75">
      <c r="A32" s="3" t="s">
        <v>47</v>
      </c>
      <c r="B32" s="3" t="s">
        <v>302</v>
      </c>
      <c r="C32" s="3" t="s">
        <v>303</v>
      </c>
      <c r="D32" s="26">
        <f>'Stavební rozpočet'!H102</f>
        <v>0</v>
      </c>
      <c r="E32" s="26">
        <f>'Stavební rozpočet'!I102</f>
        <v>0</v>
      </c>
      <c r="F32" s="26">
        <f>'Stavební rozpočet'!J102</f>
        <v>0</v>
      </c>
      <c r="G32" s="26">
        <f>'Stavební rozpočet'!L102</f>
        <v>0</v>
      </c>
      <c r="H32" s="26" t="s">
        <v>409</v>
      </c>
      <c r="I32" s="26">
        <f t="shared" si="0"/>
        <v>0</v>
      </c>
    </row>
    <row r="33" spans="1:9" ht="12.75">
      <c r="A33" s="3" t="s">
        <v>47</v>
      </c>
      <c r="B33" s="3" t="s">
        <v>307</v>
      </c>
      <c r="C33" s="3" t="s">
        <v>308</v>
      </c>
      <c r="D33" s="26">
        <f>'Stavební rozpočet'!H104</f>
        <v>0</v>
      </c>
      <c r="E33" s="26">
        <f>'Stavební rozpočet'!I104</f>
        <v>0</v>
      </c>
      <c r="F33" s="26">
        <f>'Stavební rozpočet'!J104</f>
        <v>0</v>
      </c>
      <c r="G33" s="26">
        <f>'Stavební rozpočet'!L104</f>
        <v>0</v>
      </c>
      <c r="H33" s="26" t="s">
        <v>409</v>
      </c>
      <c r="I33" s="26">
        <f t="shared" si="0"/>
        <v>0</v>
      </c>
    </row>
    <row r="34" spans="1:9" ht="12.75">
      <c r="A34" s="3" t="s">
        <v>47</v>
      </c>
      <c r="B34" s="3" t="s">
        <v>313</v>
      </c>
      <c r="C34" s="3" t="s">
        <v>314</v>
      </c>
      <c r="D34" s="26">
        <f>'Stavební rozpočet'!H106</f>
        <v>0</v>
      </c>
      <c r="E34" s="26">
        <f>'Stavební rozpočet'!I106</f>
        <v>0</v>
      </c>
      <c r="F34" s="26">
        <f>'Stavební rozpočet'!J106</f>
        <v>0</v>
      </c>
      <c r="G34" s="26">
        <f>'Stavební rozpočet'!L106</f>
        <v>0</v>
      </c>
      <c r="H34" s="26" t="s">
        <v>409</v>
      </c>
      <c r="I34" s="26">
        <f t="shared" si="0"/>
        <v>0</v>
      </c>
    </row>
    <row r="35" spans="1:9" ht="12.75">
      <c r="A35" s="3" t="s">
        <v>47</v>
      </c>
      <c r="B35" s="3" t="s">
        <v>318</v>
      </c>
      <c r="C35" s="3" t="s">
        <v>319</v>
      </c>
      <c r="D35" s="26">
        <f>'Stavební rozpočet'!H108</f>
        <v>0</v>
      </c>
      <c r="E35" s="26">
        <f>'Stavební rozpočet'!I108</f>
        <v>0</v>
      </c>
      <c r="F35" s="26">
        <f>'Stavební rozpočet'!J108</f>
        <v>0</v>
      </c>
      <c r="G35" s="26">
        <f>'Stavební rozpočet'!L108</f>
        <v>0</v>
      </c>
      <c r="H35" s="26" t="s">
        <v>409</v>
      </c>
      <c r="I35" s="26">
        <f t="shared" si="0"/>
        <v>0</v>
      </c>
    </row>
    <row r="36" spans="1:9" ht="12.75">
      <c r="A36" s="3" t="s">
        <v>47</v>
      </c>
      <c r="B36" s="3" t="s">
        <v>331</v>
      </c>
      <c r="C36" s="3" t="s">
        <v>332</v>
      </c>
      <c r="D36" s="26">
        <f>'Stavební rozpočet'!H114</f>
        <v>0</v>
      </c>
      <c r="E36" s="26">
        <f>'Stavební rozpočet'!I114</f>
        <v>0</v>
      </c>
      <c r="F36" s="26">
        <f>'Stavební rozpočet'!J114</f>
        <v>0</v>
      </c>
      <c r="G36" s="26">
        <f>'Stavební rozpočet'!L114</f>
        <v>0</v>
      </c>
      <c r="H36" s="26" t="s">
        <v>409</v>
      </c>
      <c r="I36" s="26">
        <f t="shared" si="0"/>
        <v>0</v>
      </c>
    </row>
    <row r="37" spans="1:9" ht="12.75">
      <c r="A37" s="3" t="s">
        <v>346</v>
      </c>
      <c r="B37" s="3"/>
      <c r="C37" s="3" t="s">
        <v>347</v>
      </c>
      <c r="D37" s="26">
        <f>'Stavební rozpočet'!H119</f>
        <v>0</v>
      </c>
      <c r="E37" s="26">
        <f>'Stavební rozpočet'!I119</f>
        <v>0</v>
      </c>
      <c r="F37" s="26">
        <f>'Stavební rozpočet'!J119</f>
        <v>0</v>
      </c>
      <c r="G37" s="26">
        <f>'Stavební rozpočet'!L119</f>
        <v>155.788482</v>
      </c>
      <c r="H37" s="26" t="s">
        <v>408</v>
      </c>
      <c r="I37" s="26">
        <f t="shared" si="0"/>
        <v>0</v>
      </c>
    </row>
    <row r="38" spans="1:9" ht="12.75">
      <c r="A38" s="3" t="s">
        <v>346</v>
      </c>
      <c r="B38" s="3" t="s">
        <v>102</v>
      </c>
      <c r="C38" s="3" t="s">
        <v>348</v>
      </c>
      <c r="D38" s="26">
        <f>'Stavební rozpočet'!H120</f>
        <v>0</v>
      </c>
      <c r="E38" s="26">
        <f>'Stavební rozpočet'!I120</f>
        <v>0</v>
      </c>
      <c r="F38" s="26">
        <f>'Stavební rozpočet'!J120</f>
        <v>0</v>
      </c>
      <c r="G38" s="26">
        <f>'Stavební rozpočet'!L120</f>
        <v>0</v>
      </c>
      <c r="H38" s="26" t="s">
        <v>409</v>
      </c>
      <c r="I38" s="26">
        <f t="shared" si="0"/>
        <v>0</v>
      </c>
    </row>
    <row r="39" spans="1:9" ht="12.75">
      <c r="A39" s="3" t="s">
        <v>346</v>
      </c>
      <c r="B39" s="3" t="s">
        <v>62</v>
      </c>
      <c r="C39" s="3" t="s">
        <v>63</v>
      </c>
      <c r="D39" s="26">
        <f>'Stavební rozpočet'!H122</f>
        <v>0</v>
      </c>
      <c r="E39" s="26">
        <f>'Stavební rozpočet'!I122</f>
        <v>0</v>
      </c>
      <c r="F39" s="26">
        <f>'Stavební rozpočet'!J122</f>
        <v>0</v>
      </c>
      <c r="G39" s="26">
        <f>'Stavební rozpočet'!L122</f>
        <v>0</v>
      </c>
      <c r="H39" s="26" t="s">
        <v>409</v>
      </c>
      <c r="I39" s="26">
        <f t="shared" si="0"/>
        <v>0</v>
      </c>
    </row>
    <row r="40" spans="1:9" ht="12.75">
      <c r="A40" s="3" t="s">
        <v>346</v>
      </c>
      <c r="B40" s="3" t="s">
        <v>68</v>
      </c>
      <c r="C40" s="3" t="s">
        <v>69</v>
      </c>
      <c r="D40" s="26">
        <f>'Stavební rozpočet'!H124</f>
        <v>0</v>
      </c>
      <c r="E40" s="26">
        <f>'Stavební rozpočet'!I124</f>
        <v>0</v>
      </c>
      <c r="F40" s="26">
        <f>'Stavební rozpočet'!J124</f>
        <v>0</v>
      </c>
      <c r="G40" s="26">
        <f>'Stavební rozpočet'!L124</f>
        <v>0</v>
      </c>
      <c r="H40" s="26" t="s">
        <v>409</v>
      </c>
      <c r="I40" s="26">
        <f t="shared" si="0"/>
        <v>0</v>
      </c>
    </row>
    <row r="41" spans="1:9" ht="12.75">
      <c r="A41" s="3" t="s">
        <v>346</v>
      </c>
      <c r="B41" s="3" t="s">
        <v>79</v>
      </c>
      <c r="C41" s="3" t="s">
        <v>80</v>
      </c>
      <c r="D41" s="26">
        <f>'Stavební rozpočet'!H127</f>
        <v>0</v>
      </c>
      <c r="E41" s="26">
        <f>'Stavební rozpočet'!I127</f>
        <v>0</v>
      </c>
      <c r="F41" s="26">
        <f>'Stavební rozpočet'!J127</f>
        <v>0</v>
      </c>
      <c r="G41" s="26">
        <f>'Stavební rozpočet'!L127</f>
        <v>0</v>
      </c>
      <c r="H41" s="26" t="s">
        <v>409</v>
      </c>
      <c r="I41" s="26">
        <f t="shared" si="0"/>
        <v>0</v>
      </c>
    </row>
    <row r="42" spans="1:9" ht="12.75">
      <c r="A42" s="3" t="s">
        <v>346</v>
      </c>
      <c r="B42" s="3" t="s">
        <v>290</v>
      </c>
      <c r="C42" s="3" t="s">
        <v>363</v>
      </c>
      <c r="D42" s="26">
        <f>'Stavební rozpočet'!H129</f>
        <v>0</v>
      </c>
      <c r="E42" s="26">
        <f>'Stavební rozpočet'!I129</f>
        <v>0</v>
      </c>
      <c r="F42" s="26">
        <f>'Stavební rozpočet'!J129</f>
        <v>0</v>
      </c>
      <c r="G42" s="26">
        <f>'Stavební rozpočet'!L129</f>
        <v>111.5856</v>
      </c>
      <c r="H42" s="26" t="s">
        <v>409</v>
      </c>
      <c r="I42" s="26">
        <f t="shared" si="0"/>
        <v>0</v>
      </c>
    </row>
    <row r="43" spans="1:9" ht="12.75">
      <c r="A43" s="3" t="s">
        <v>346</v>
      </c>
      <c r="B43" s="3" t="s">
        <v>151</v>
      </c>
      <c r="C43" s="3" t="s">
        <v>152</v>
      </c>
      <c r="D43" s="26">
        <f>'Stavební rozpočet'!H134</f>
        <v>0</v>
      </c>
      <c r="E43" s="26">
        <f>'Stavební rozpočet'!I134</f>
        <v>0</v>
      </c>
      <c r="F43" s="26">
        <f>'Stavební rozpočet'!J134</f>
        <v>0</v>
      </c>
      <c r="G43" s="26">
        <f>'Stavební rozpočet'!L134</f>
        <v>37.40479199999999</v>
      </c>
      <c r="H43" s="26" t="s">
        <v>409</v>
      </c>
      <c r="I43" s="26">
        <f t="shared" si="0"/>
        <v>0</v>
      </c>
    </row>
    <row r="44" spans="1:9" ht="12.75">
      <c r="A44" s="3" t="s">
        <v>346</v>
      </c>
      <c r="B44" s="3" t="s">
        <v>379</v>
      </c>
      <c r="C44" s="3" t="s">
        <v>380</v>
      </c>
      <c r="D44" s="26">
        <f>'Stavební rozpočet'!H137</f>
        <v>0</v>
      </c>
      <c r="E44" s="26">
        <f>'Stavební rozpočet'!I137</f>
        <v>0</v>
      </c>
      <c r="F44" s="26">
        <f>'Stavební rozpočet'!J137</f>
        <v>0</v>
      </c>
      <c r="G44" s="26">
        <f>'Stavební rozpočet'!L137</f>
        <v>6.79809</v>
      </c>
      <c r="H44" s="26" t="s">
        <v>409</v>
      </c>
      <c r="I44" s="26">
        <f t="shared" si="0"/>
        <v>0</v>
      </c>
    </row>
    <row r="45" spans="1:9" ht="12.75">
      <c r="A45" s="3" t="s">
        <v>346</v>
      </c>
      <c r="B45" s="3" t="s">
        <v>394</v>
      </c>
      <c r="C45" s="3" t="s">
        <v>395</v>
      </c>
      <c r="D45" s="26">
        <f>'Stavební rozpočet'!H143</f>
        <v>0</v>
      </c>
      <c r="E45" s="26">
        <f>'Stavební rozpočet'!I143</f>
        <v>0</v>
      </c>
      <c r="F45" s="26">
        <f>'Stavební rozpočet'!J143</f>
        <v>0</v>
      </c>
      <c r="G45" s="26">
        <f>'Stavební rozpočet'!L143</f>
        <v>0</v>
      </c>
      <c r="H45" s="26" t="s">
        <v>409</v>
      </c>
      <c r="I45" s="26">
        <f t="shared" si="0"/>
        <v>0</v>
      </c>
    </row>
    <row r="47" spans="5:6" ht="12.75">
      <c r="E47" s="41" t="s">
        <v>400</v>
      </c>
      <c r="F47" s="42">
        <f>SUM(I11:I45)</f>
        <v>0</v>
      </c>
    </row>
  </sheetData>
  <sheetProtection selectLockedCells="1" selectUnlockedCells="1"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26" sqref="D126:E126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76.281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85" t="s">
        <v>410</v>
      </c>
      <c r="B1" s="85"/>
      <c r="C1" s="85"/>
      <c r="D1" s="85"/>
      <c r="E1" s="85"/>
      <c r="F1" s="85"/>
      <c r="G1" s="85"/>
      <c r="H1" s="85"/>
    </row>
    <row r="2" spans="1:9" ht="12.75" customHeight="1">
      <c r="A2" s="86" t="s">
        <v>1</v>
      </c>
      <c r="B2" s="86"/>
      <c r="C2" s="87" t="str">
        <f>'Stavební rozpočet'!D2</f>
        <v>Výtah OÚ Malšice</v>
      </c>
      <c r="D2" s="87"/>
      <c r="E2" s="89" t="s">
        <v>5</v>
      </c>
      <c r="F2" s="93" t="str">
        <f>'Stavební rozpočet'!I2</f>
        <v> </v>
      </c>
      <c r="G2" s="93"/>
      <c r="H2" s="93"/>
      <c r="I2" s="1"/>
    </row>
    <row r="3" spans="1:9" ht="12.75">
      <c r="A3" s="86"/>
      <c r="B3" s="86"/>
      <c r="C3" s="87"/>
      <c r="D3" s="87"/>
      <c r="E3" s="89"/>
      <c r="F3" s="89"/>
      <c r="G3" s="93"/>
      <c r="H3" s="93"/>
      <c r="I3" s="1"/>
    </row>
    <row r="4" spans="1:9" ht="12.75" customHeight="1">
      <c r="A4" s="82" t="s">
        <v>7</v>
      </c>
      <c r="B4" s="82"/>
      <c r="C4" s="77" t="str">
        <f>'Stavební rozpočet'!D4</f>
        <v> </v>
      </c>
      <c r="D4" s="77"/>
      <c r="E4" s="77" t="s">
        <v>10</v>
      </c>
      <c r="F4" s="91" t="str">
        <f>'Stavební rozpočet'!I4</f>
        <v> Ing. arch. Jiří Neužil</v>
      </c>
      <c r="G4" s="91"/>
      <c r="H4" s="91"/>
      <c r="I4" s="1"/>
    </row>
    <row r="5" spans="1:9" ht="12.75">
      <c r="A5" s="82"/>
      <c r="B5" s="82"/>
      <c r="C5" s="77"/>
      <c r="D5" s="77"/>
      <c r="E5" s="77"/>
      <c r="F5" s="77"/>
      <c r="G5" s="91"/>
      <c r="H5" s="91"/>
      <c r="I5" s="1"/>
    </row>
    <row r="6" spans="1:9" ht="12.75" customHeight="1">
      <c r="A6" s="82" t="s">
        <v>11</v>
      </c>
      <c r="B6" s="82"/>
      <c r="C6" s="77" t="str">
        <f>'Stavební rozpočet'!D6</f>
        <v>Malšice</v>
      </c>
      <c r="D6" s="77"/>
      <c r="E6" s="77" t="s">
        <v>14</v>
      </c>
      <c r="F6" s="91" t="str">
        <f>'Stavební rozpočet'!I6</f>
        <v> </v>
      </c>
      <c r="G6" s="91"/>
      <c r="H6" s="91"/>
      <c r="I6" s="1"/>
    </row>
    <row r="7" spans="1:9" ht="12.75">
      <c r="A7" s="82"/>
      <c r="B7" s="82"/>
      <c r="C7" s="77"/>
      <c r="D7" s="77"/>
      <c r="E7" s="77"/>
      <c r="F7" s="77"/>
      <c r="G7" s="91"/>
      <c r="H7" s="91"/>
      <c r="I7" s="1"/>
    </row>
    <row r="8" spans="1:9" ht="12.75" customHeight="1">
      <c r="A8" s="78" t="s">
        <v>17</v>
      </c>
      <c r="B8" s="78"/>
      <c r="C8" s="79" t="str">
        <f>'Stavební rozpočet'!I8</f>
        <v> </v>
      </c>
      <c r="D8" s="79"/>
      <c r="E8" s="79" t="s">
        <v>16</v>
      </c>
      <c r="F8" s="92" t="str">
        <f>'Stavební rozpočet'!G8</f>
        <v>13.05.2019</v>
      </c>
      <c r="G8" s="92"/>
      <c r="H8" s="92"/>
      <c r="I8" s="1"/>
    </row>
    <row r="9" spans="1:9" ht="12.75">
      <c r="A9" s="78"/>
      <c r="B9" s="78"/>
      <c r="C9" s="79"/>
      <c r="D9" s="79"/>
      <c r="E9" s="79"/>
      <c r="F9" s="79"/>
      <c r="G9" s="92"/>
      <c r="H9" s="92"/>
      <c r="I9" s="1"/>
    </row>
    <row r="10" spans="1:9" ht="12.75">
      <c r="A10" s="35" t="s">
        <v>18</v>
      </c>
      <c r="B10" s="36" t="s">
        <v>19</v>
      </c>
      <c r="C10" s="36" t="s">
        <v>20</v>
      </c>
      <c r="D10" s="96" t="s">
        <v>21</v>
      </c>
      <c r="E10" s="96"/>
      <c r="F10" s="36" t="s">
        <v>22</v>
      </c>
      <c r="G10" s="43" t="s">
        <v>23</v>
      </c>
      <c r="H10" s="34" t="s">
        <v>411</v>
      </c>
      <c r="I10" s="9"/>
    </row>
    <row r="11" spans="1:8" ht="12.75">
      <c r="A11" s="20"/>
      <c r="B11" s="20"/>
      <c r="C11" s="20" t="s">
        <v>102</v>
      </c>
      <c r="D11" s="97" t="s">
        <v>348</v>
      </c>
      <c r="E11" s="97"/>
      <c r="F11" s="20"/>
      <c r="G11" s="22"/>
      <c r="H11" s="22"/>
    </row>
    <row r="12" spans="1:8" ht="12" customHeight="1">
      <c r="A12" s="3" t="s">
        <v>51</v>
      </c>
      <c r="B12" s="3" t="s">
        <v>346</v>
      </c>
      <c r="C12" s="3" t="s">
        <v>350</v>
      </c>
      <c r="D12" s="95" t="s">
        <v>412</v>
      </c>
      <c r="E12" s="95"/>
      <c r="F12" s="95"/>
      <c r="G12" s="44">
        <v>60.516</v>
      </c>
      <c r="H12" s="26">
        <v>0</v>
      </c>
    </row>
    <row r="13" spans="1:8" ht="12.75">
      <c r="A13" s="24"/>
      <c r="B13" s="24"/>
      <c r="C13" s="24" t="s">
        <v>49</v>
      </c>
      <c r="D13" s="94" t="s">
        <v>50</v>
      </c>
      <c r="E13" s="94"/>
      <c r="F13" s="24"/>
      <c r="G13" s="18"/>
      <c r="H13" s="18"/>
    </row>
    <row r="14" spans="1:8" ht="12" customHeight="1">
      <c r="A14" s="3" t="s">
        <v>59</v>
      </c>
      <c r="B14" s="3" t="s">
        <v>47</v>
      </c>
      <c r="C14" s="3" t="s">
        <v>52</v>
      </c>
      <c r="D14" s="95" t="s">
        <v>413</v>
      </c>
      <c r="E14" s="95"/>
      <c r="F14" s="95"/>
      <c r="G14" s="44">
        <v>7.92</v>
      </c>
      <c r="H14" s="26">
        <v>0</v>
      </c>
    </row>
    <row r="15" spans="1:8" ht="12.75">
      <c r="A15" s="3" t="s">
        <v>64</v>
      </c>
      <c r="B15" s="3" t="s">
        <v>47</v>
      </c>
      <c r="C15" s="3" t="s">
        <v>60</v>
      </c>
      <c r="D15" s="83" t="s">
        <v>61</v>
      </c>
      <c r="E15" s="83"/>
      <c r="F15" s="3" t="s">
        <v>54</v>
      </c>
      <c r="G15" s="26">
        <v>5.2832</v>
      </c>
      <c r="H15" s="26">
        <v>0</v>
      </c>
    </row>
    <row r="16" spans="4:7" ht="12" customHeight="1">
      <c r="D16" s="95" t="s">
        <v>414</v>
      </c>
      <c r="E16" s="95"/>
      <c r="F16" s="95"/>
      <c r="G16" s="44">
        <v>0.9632</v>
      </c>
    </row>
    <row r="17" spans="1:8" ht="12" customHeight="1">
      <c r="A17" s="3"/>
      <c r="B17" s="3"/>
      <c r="C17" s="3"/>
      <c r="D17" s="95" t="s">
        <v>415</v>
      </c>
      <c r="E17" s="95"/>
      <c r="F17" s="95"/>
      <c r="G17" s="44">
        <v>4.32</v>
      </c>
      <c r="H17" s="27"/>
    </row>
    <row r="18" spans="1:8" ht="12.75">
      <c r="A18" s="24"/>
      <c r="B18" s="24"/>
      <c r="C18" s="24" t="s">
        <v>62</v>
      </c>
      <c r="D18" s="94" t="s">
        <v>63</v>
      </c>
      <c r="E18" s="94"/>
      <c r="F18" s="24"/>
      <c r="G18" s="18"/>
      <c r="H18" s="18"/>
    </row>
    <row r="19" spans="1:8" ht="12" customHeight="1">
      <c r="A19" s="3" t="s">
        <v>70</v>
      </c>
      <c r="B19" s="3" t="s">
        <v>47</v>
      </c>
      <c r="C19" s="3" t="s">
        <v>65</v>
      </c>
      <c r="D19" s="95" t="s">
        <v>416</v>
      </c>
      <c r="E19" s="95"/>
      <c r="F19" s="95"/>
      <c r="G19" s="44">
        <v>3.29</v>
      </c>
      <c r="H19" s="26">
        <v>0</v>
      </c>
    </row>
    <row r="20" spans="1:8" ht="12.75">
      <c r="A20" s="3" t="s">
        <v>74</v>
      </c>
      <c r="B20" s="3" t="s">
        <v>346</v>
      </c>
      <c r="C20" s="3" t="s">
        <v>65</v>
      </c>
      <c r="D20" s="83" t="s">
        <v>66</v>
      </c>
      <c r="E20" s="83"/>
      <c r="F20" s="3" t="s">
        <v>54</v>
      </c>
      <c r="G20" s="26">
        <v>60.5</v>
      </c>
      <c r="H20" s="26">
        <v>0</v>
      </c>
    </row>
    <row r="21" spans="1:8" ht="12.75">
      <c r="A21" s="24"/>
      <c r="B21" s="24"/>
      <c r="C21" s="24" t="s">
        <v>68</v>
      </c>
      <c r="D21" s="94" t="s">
        <v>69</v>
      </c>
      <c r="E21" s="94"/>
      <c r="F21" s="24"/>
      <c r="G21" s="18"/>
      <c r="H21" s="18"/>
    </row>
    <row r="22" spans="1:8" ht="12" customHeight="1">
      <c r="A22" s="3" t="s">
        <v>78</v>
      </c>
      <c r="B22" s="3" t="s">
        <v>47</v>
      </c>
      <c r="C22" s="3" t="s">
        <v>71</v>
      </c>
      <c r="D22" s="95" t="s">
        <v>417</v>
      </c>
      <c r="E22" s="95"/>
      <c r="F22" s="95"/>
      <c r="G22" s="44">
        <v>4.63944</v>
      </c>
      <c r="H22" s="26">
        <v>0</v>
      </c>
    </row>
    <row r="23" spans="1:8" ht="12" customHeight="1">
      <c r="A23" s="3" t="s">
        <v>81</v>
      </c>
      <c r="B23" s="3" t="s">
        <v>47</v>
      </c>
      <c r="C23" s="3" t="s">
        <v>75</v>
      </c>
      <c r="D23" s="95" t="s">
        <v>418</v>
      </c>
      <c r="E23" s="95"/>
      <c r="F23" s="95"/>
      <c r="G23" s="44">
        <v>1.08</v>
      </c>
      <c r="H23" s="26">
        <v>0</v>
      </c>
    </row>
    <row r="24" spans="1:8" ht="12" customHeight="1">
      <c r="A24" s="3" t="s">
        <v>88</v>
      </c>
      <c r="B24" s="3" t="s">
        <v>47</v>
      </c>
      <c r="C24" s="3" t="s">
        <v>71</v>
      </c>
      <c r="D24" s="95" t="s">
        <v>419</v>
      </c>
      <c r="E24" s="95"/>
      <c r="F24" s="95"/>
      <c r="G24" s="44">
        <v>2.16</v>
      </c>
      <c r="H24" s="26">
        <v>0</v>
      </c>
    </row>
    <row r="25" spans="1:8" ht="12.75">
      <c r="A25" s="3" t="s">
        <v>93</v>
      </c>
      <c r="B25" s="3" t="s">
        <v>346</v>
      </c>
      <c r="C25" s="3" t="s">
        <v>357</v>
      </c>
      <c r="D25" s="83" t="s">
        <v>358</v>
      </c>
      <c r="E25" s="83"/>
      <c r="F25" s="3" t="s">
        <v>54</v>
      </c>
      <c r="G25" s="26">
        <v>60.5</v>
      </c>
      <c r="H25" s="26">
        <v>0</v>
      </c>
    </row>
    <row r="26" spans="1:8" ht="12" customHeight="1">
      <c r="A26" s="3" t="s">
        <v>96</v>
      </c>
      <c r="B26" s="3" t="s">
        <v>346</v>
      </c>
      <c r="C26" s="3" t="s">
        <v>360</v>
      </c>
      <c r="D26" s="95" t="s">
        <v>420</v>
      </c>
      <c r="E26" s="95"/>
      <c r="F26" s="95"/>
      <c r="G26" s="44">
        <v>96.8</v>
      </c>
      <c r="H26" s="26">
        <v>0</v>
      </c>
    </row>
    <row r="27" spans="1:8" ht="12.75">
      <c r="A27" s="24"/>
      <c r="B27" s="24"/>
      <c r="C27" s="24" t="s">
        <v>79</v>
      </c>
      <c r="D27" s="94" t="s">
        <v>80</v>
      </c>
      <c r="E27" s="94"/>
      <c r="F27" s="24"/>
      <c r="G27" s="18"/>
      <c r="H27" s="18"/>
    </row>
    <row r="28" spans="1:8" ht="12" customHeight="1">
      <c r="A28" s="3" t="s">
        <v>99</v>
      </c>
      <c r="B28" s="3" t="s">
        <v>47</v>
      </c>
      <c r="C28" s="3" t="s">
        <v>82</v>
      </c>
      <c r="D28" s="95" t="s">
        <v>421</v>
      </c>
      <c r="E28" s="95"/>
      <c r="F28" s="95"/>
      <c r="G28" s="44">
        <v>2.6988</v>
      </c>
      <c r="H28" s="26">
        <v>0</v>
      </c>
    </row>
    <row r="29" spans="1:8" ht="12.75">
      <c r="A29" s="3" t="s">
        <v>102</v>
      </c>
      <c r="B29" s="3" t="s">
        <v>346</v>
      </c>
      <c r="C29" s="3" t="s">
        <v>82</v>
      </c>
      <c r="D29" s="83" t="s">
        <v>83</v>
      </c>
      <c r="E29" s="83"/>
      <c r="F29" s="3" t="s">
        <v>84</v>
      </c>
      <c r="G29" s="26">
        <v>147.6</v>
      </c>
      <c r="H29" s="26">
        <v>0</v>
      </c>
    </row>
    <row r="30" spans="1:8" ht="12.75" customHeight="1">
      <c r="A30" s="24"/>
      <c r="B30" s="24"/>
      <c r="C30" s="24" t="s">
        <v>86</v>
      </c>
      <c r="D30" s="94" t="s">
        <v>87</v>
      </c>
      <c r="E30" s="94"/>
      <c r="F30" s="24"/>
      <c r="G30" s="18"/>
      <c r="H30" s="18"/>
    </row>
    <row r="31" spans="1:8" ht="12" customHeight="1">
      <c r="A31" s="3" t="s">
        <v>49</v>
      </c>
      <c r="B31" s="3" t="s">
        <v>47</v>
      </c>
      <c r="C31" s="3" t="s">
        <v>89</v>
      </c>
      <c r="D31" s="95" t="s">
        <v>422</v>
      </c>
      <c r="E31" s="95"/>
      <c r="F31" s="95"/>
      <c r="G31" s="44">
        <v>0.135</v>
      </c>
      <c r="H31" s="26">
        <v>0</v>
      </c>
    </row>
    <row r="32" spans="1:8" ht="12" customHeight="1">
      <c r="A32" s="3" t="s">
        <v>108</v>
      </c>
      <c r="B32" s="3" t="s">
        <v>47</v>
      </c>
      <c r="C32" s="3" t="s">
        <v>94</v>
      </c>
      <c r="D32" s="95" t="s">
        <v>422</v>
      </c>
      <c r="E32" s="95"/>
      <c r="F32" s="95"/>
      <c r="G32" s="44">
        <v>0.135</v>
      </c>
      <c r="H32" s="26">
        <v>0</v>
      </c>
    </row>
    <row r="33" spans="1:8" ht="12" customHeight="1">
      <c r="A33" s="3" t="s">
        <v>114</v>
      </c>
      <c r="B33" s="3" t="s">
        <v>47</v>
      </c>
      <c r="C33" s="3" t="s">
        <v>97</v>
      </c>
      <c r="D33" s="95" t="s">
        <v>423</v>
      </c>
      <c r="E33" s="95"/>
      <c r="F33" s="95"/>
      <c r="G33" s="44">
        <v>0.9632</v>
      </c>
      <c r="H33" s="26">
        <v>0</v>
      </c>
    </row>
    <row r="34" spans="1:8" ht="12" customHeight="1">
      <c r="A34" s="3" t="s">
        <v>62</v>
      </c>
      <c r="B34" s="3" t="s">
        <v>47</v>
      </c>
      <c r="C34" s="3" t="s">
        <v>100</v>
      </c>
      <c r="D34" s="95" t="s">
        <v>424</v>
      </c>
      <c r="E34" s="95"/>
      <c r="F34" s="95"/>
      <c r="G34" s="44">
        <v>1.31544</v>
      </c>
      <c r="H34" s="26">
        <v>0</v>
      </c>
    </row>
    <row r="35" spans="1:8" ht="12" customHeight="1">
      <c r="A35" s="3" t="s">
        <v>68</v>
      </c>
      <c r="B35" s="3" t="s">
        <v>47</v>
      </c>
      <c r="C35" s="3" t="s">
        <v>103</v>
      </c>
      <c r="D35" s="95" t="s">
        <v>425</v>
      </c>
      <c r="E35" s="95"/>
      <c r="F35" s="95"/>
      <c r="G35" s="44">
        <v>1.866</v>
      </c>
      <c r="H35" s="26">
        <v>0</v>
      </c>
    </row>
    <row r="36" spans="1:8" ht="12.75">
      <c r="A36" s="3" t="s">
        <v>79</v>
      </c>
      <c r="B36" s="3" t="s">
        <v>47</v>
      </c>
      <c r="C36" s="3" t="s">
        <v>106</v>
      </c>
      <c r="D36" s="83" t="s">
        <v>107</v>
      </c>
      <c r="E36" s="83"/>
      <c r="F36" s="3" t="s">
        <v>84</v>
      </c>
      <c r="G36" s="26">
        <v>1.9</v>
      </c>
      <c r="H36" s="26">
        <v>0</v>
      </c>
    </row>
    <row r="37" spans="1:8" ht="12.75">
      <c r="A37" s="24"/>
      <c r="B37" s="24"/>
      <c r="C37" s="24" t="s">
        <v>112</v>
      </c>
      <c r="D37" s="94" t="s">
        <v>113</v>
      </c>
      <c r="E37" s="94"/>
      <c r="F37" s="24"/>
      <c r="G37" s="18"/>
      <c r="H37" s="18"/>
    </row>
    <row r="38" spans="1:8" ht="12" customHeight="1">
      <c r="A38" s="3" t="s">
        <v>127</v>
      </c>
      <c r="B38" s="3" t="s">
        <v>47</v>
      </c>
      <c r="C38" s="3" t="s">
        <v>115</v>
      </c>
      <c r="D38" s="95" t="s">
        <v>426</v>
      </c>
      <c r="E38" s="95"/>
      <c r="F38" s="95"/>
      <c r="G38" s="44">
        <v>4.365</v>
      </c>
      <c r="H38" s="26">
        <v>0</v>
      </c>
    </row>
    <row r="39" spans="1:8" ht="12" customHeight="1">
      <c r="A39" s="3" t="s">
        <v>130</v>
      </c>
      <c r="B39" s="3" t="s">
        <v>47</v>
      </c>
      <c r="C39" s="3" t="s">
        <v>120</v>
      </c>
      <c r="D39" s="95" t="s">
        <v>427</v>
      </c>
      <c r="E39" s="95"/>
      <c r="F39" s="95"/>
      <c r="G39" s="44">
        <v>0.18019</v>
      </c>
      <c r="H39" s="26">
        <v>0</v>
      </c>
    </row>
    <row r="40" spans="1:8" ht="12" customHeight="1">
      <c r="A40" s="3" t="s">
        <v>135</v>
      </c>
      <c r="B40" s="3" t="s">
        <v>47</v>
      </c>
      <c r="C40" s="3" t="s">
        <v>122</v>
      </c>
      <c r="D40" s="95" t="s">
        <v>428</v>
      </c>
      <c r="E40" s="95"/>
      <c r="F40" s="95"/>
      <c r="G40" s="44">
        <v>0.16615</v>
      </c>
      <c r="H40" s="26">
        <v>0</v>
      </c>
    </row>
    <row r="41" spans="1:8" ht="12" customHeight="1">
      <c r="A41" s="3" t="s">
        <v>140</v>
      </c>
      <c r="B41" s="3" t="s">
        <v>47</v>
      </c>
      <c r="C41" s="3" t="s">
        <v>125</v>
      </c>
      <c r="D41" s="95" t="s">
        <v>429</v>
      </c>
      <c r="E41" s="95"/>
      <c r="F41" s="95"/>
      <c r="G41" s="44">
        <v>0.10633</v>
      </c>
      <c r="H41" s="26">
        <v>0</v>
      </c>
    </row>
    <row r="42" spans="1:8" ht="12.75">
      <c r="A42" s="3" t="s">
        <v>146</v>
      </c>
      <c r="B42" s="3" t="s">
        <v>47</v>
      </c>
      <c r="C42" s="3" t="s">
        <v>128</v>
      </c>
      <c r="D42" s="83" t="s">
        <v>129</v>
      </c>
      <c r="E42" s="83"/>
      <c r="F42" s="3" t="s">
        <v>54</v>
      </c>
      <c r="G42" s="26">
        <v>0.37725</v>
      </c>
      <c r="H42" s="26">
        <v>0</v>
      </c>
    </row>
    <row r="43" spans="4:7" ht="12" customHeight="1">
      <c r="D43" s="95" t="s">
        <v>430</v>
      </c>
      <c r="E43" s="95"/>
      <c r="F43" s="95"/>
      <c r="G43" s="44">
        <v>0.141</v>
      </c>
    </row>
    <row r="44" spans="1:8" ht="12" customHeight="1">
      <c r="A44" s="3"/>
      <c r="B44" s="3"/>
      <c r="C44" s="3"/>
      <c r="D44" s="95" t="s">
        <v>431</v>
      </c>
      <c r="E44" s="95"/>
      <c r="F44" s="95"/>
      <c r="G44" s="44">
        <v>0.23625</v>
      </c>
      <c r="H44" s="27"/>
    </row>
    <row r="45" spans="1:8" ht="12" customHeight="1">
      <c r="A45" s="3" t="s">
        <v>153</v>
      </c>
      <c r="B45" s="3" t="s">
        <v>47</v>
      </c>
      <c r="C45" s="3" t="s">
        <v>131</v>
      </c>
      <c r="D45" s="95" t="s">
        <v>432</v>
      </c>
      <c r="E45" s="95"/>
      <c r="F45" s="95"/>
      <c r="G45" s="44">
        <v>1</v>
      </c>
      <c r="H45" s="26">
        <v>0</v>
      </c>
    </row>
    <row r="46" spans="1:8" ht="12" customHeight="1">
      <c r="A46" s="3" t="s">
        <v>161</v>
      </c>
      <c r="B46" s="3" t="s">
        <v>47</v>
      </c>
      <c r="C46" s="3" t="s">
        <v>136</v>
      </c>
      <c r="D46" s="95" t="s">
        <v>433</v>
      </c>
      <c r="E46" s="95"/>
      <c r="F46" s="95"/>
      <c r="G46" s="44">
        <v>0.27</v>
      </c>
      <c r="H46" s="26">
        <v>0</v>
      </c>
    </row>
    <row r="47" spans="1:8" ht="12.75">
      <c r="A47" s="24"/>
      <c r="B47" s="24"/>
      <c r="C47" s="24" t="s">
        <v>138</v>
      </c>
      <c r="D47" s="94" t="s">
        <v>139</v>
      </c>
      <c r="E47" s="94"/>
      <c r="F47" s="24"/>
      <c r="G47" s="18"/>
      <c r="H47" s="18"/>
    </row>
    <row r="48" spans="1:8" ht="12" customHeight="1">
      <c r="A48" s="3" t="s">
        <v>166</v>
      </c>
      <c r="B48" s="3" t="s">
        <v>47</v>
      </c>
      <c r="C48" s="3" t="s">
        <v>141</v>
      </c>
      <c r="D48" s="95" t="s">
        <v>434</v>
      </c>
      <c r="E48" s="95"/>
      <c r="F48" s="95"/>
      <c r="G48" s="44">
        <v>0.6</v>
      </c>
      <c r="H48" s="26">
        <v>0</v>
      </c>
    </row>
    <row r="49" spans="1:8" ht="12.75">
      <c r="A49" s="24"/>
      <c r="B49" s="24"/>
      <c r="C49" s="24" t="s">
        <v>144</v>
      </c>
      <c r="D49" s="94" t="s">
        <v>145</v>
      </c>
      <c r="E49" s="94"/>
      <c r="F49" s="24"/>
      <c r="G49" s="18"/>
      <c r="H49" s="18"/>
    </row>
    <row r="50" spans="1:8" ht="12" customHeight="1">
      <c r="A50" s="3" t="s">
        <v>86</v>
      </c>
      <c r="B50" s="3" t="s">
        <v>47</v>
      </c>
      <c r="C50" s="3" t="s">
        <v>147</v>
      </c>
      <c r="D50" s="95" t="s">
        <v>435</v>
      </c>
      <c r="E50" s="95"/>
      <c r="F50" s="95"/>
      <c r="G50" s="44">
        <v>0.36</v>
      </c>
      <c r="H50" s="26">
        <v>0</v>
      </c>
    </row>
    <row r="51" spans="1:8" ht="12.75">
      <c r="A51" s="24"/>
      <c r="B51" s="24"/>
      <c r="C51" s="24" t="s">
        <v>290</v>
      </c>
      <c r="D51" s="94" t="s">
        <v>363</v>
      </c>
      <c r="E51" s="94"/>
      <c r="F51" s="24"/>
      <c r="G51" s="18"/>
      <c r="H51" s="18"/>
    </row>
    <row r="52" spans="1:8" ht="12.75">
      <c r="A52" s="3" t="s">
        <v>176</v>
      </c>
      <c r="B52" s="3" t="s">
        <v>346</v>
      </c>
      <c r="C52" s="3" t="s">
        <v>365</v>
      </c>
      <c r="D52" s="83" t="s">
        <v>366</v>
      </c>
      <c r="E52" s="83"/>
      <c r="F52" s="3" t="s">
        <v>84</v>
      </c>
      <c r="G52" s="26">
        <v>147.6</v>
      </c>
      <c r="H52" s="26">
        <v>0</v>
      </c>
    </row>
    <row r="53" spans="1:8" ht="12.75">
      <c r="A53" s="3" t="s">
        <v>182</v>
      </c>
      <c r="B53" s="3" t="s">
        <v>346</v>
      </c>
      <c r="C53" s="3" t="s">
        <v>371</v>
      </c>
      <c r="D53" s="83" t="s">
        <v>366</v>
      </c>
      <c r="E53" s="83"/>
      <c r="F53" s="3" t="s">
        <v>84</v>
      </c>
      <c r="G53" s="26">
        <v>147.6</v>
      </c>
      <c r="H53" s="26">
        <v>0</v>
      </c>
    </row>
    <row r="54" spans="1:8" ht="12.75">
      <c r="A54" s="24"/>
      <c r="B54" s="24"/>
      <c r="C54" s="24" t="s">
        <v>151</v>
      </c>
      <c r="D54" s="94" t="s">
        <v>152</v>
      </c>
      <c r="E54" s="94"/>
      <c r="F54" s="24"/>
      <c r="G54" s="18"/>
      <c r="H54" s="18"/>
    </row>
    <row r="55" spans="1:8" ht="12.75">
      <c r="A55" s="3" t="s">
        <v>186</v>
      </c>
      <c r="B55" s="3" t="s">
        <v>47</v>
      </c>
      <c r="C55" s="3" t="s">
        <v>154</v>
      </c>
      <c r="D55" s="83" t="s">
        <v>436</v>
      </c>
      <c r="E55" s="83"/>
      <c r="F55" s="3" t="s">
        <v>133</v>
      </c>
      <c r="G55" s="26">
        <v>4</v>
      </c>
      <c r="H55" s="26">
        <v>0</v>
      </c>
    </row>
    <row r="56" spans="1:8" ht="12.75">
      <c r="A56" s="3" t="s">
        <v>112</v>
      </c>
      <c r="B56" s="3" t="s">
        <v>346</v>
      </c>
      <c r="C56" s="3" t="s">
        <v>374</v>
      </c>
      <c r="D56" s="83" t="s">
        <v>375</v>
      </c>
      <c r="E56" s="83"/>
      <c r="F56" s="3" t="s">
        <v>84</v>
      </c>
      <c r="G56" s="26">
        <v>147.6</v>
      </c>
      <c r="H56" s="26">
        <v>0</v>
      </c>
    </row>
    <row r="57" spans="1:8" ht="12.75">
      <c r="A57" s="24"/>
      <c r="B57" s="24"/>
      <c r="C57" s="24" t="s">
        <v>159</v>
      </c>
      <c r="D57" s="94" t="s">
        <v>160</v>
      </c>
      <c r="E57" s="94"/>
      <c r="F57" s="24"/>
      <c r="G57" s="18"/>
      <c r="H57" s="18"/>
    </row>
    <row r="58" spans="1:8" ht="12.75">
      <c r="A58" s="3" t="s">
        <v>192</v>
      </c>
      <c r="B58" s="3" t="s">
        <v>47</v>
      </c>
      <c r="C58" s="3" t="s">
        <v>162</v>
      </c>
      <c r="D58" s="83" t="s">
        <v>163</v>
      </c>
      <c r="E58" s="83"/>
      <c r="F58" s="3" t="s">
        <v>84</v>
      </c>
      <c r="G58" s="26">
        <v>9</v>
      </c>
      <c r="H58" s="26">
        <v>0</v>
      </c>
    </row>
    <row r="59" spans="4:7" ht="12" customHeight="1">
      <c r="D59" s="95" t="s">
        <v>437</v>
      </c>
      <c r="E59" s="95"/>
      <c r="F59" s="95"/>
      <c r="G59" s="44">
        <v>5.2</v>
      </c>
    </row>
    <row r="60" spans="1:8" ht="12" customHeight="1">
      <c r="A60" s="3"/>
      <c r="B60" s="3"/>
      <c r="C60" s="3"/>
      <c r="D60" s="95" t="s">
        <v>438</v>
      </c>
      <c r="E60" s="95"/>
      <c r="F60" s="95"/>
      <c r="G60" s="44">
        <v>3</v>
      </c>
      <c r="H60" s="27"/>
    </row>
    <row r="61" spans="1:8" ht="12" customHeight="1">
      <c r="A61" s="3"/>
      <c r="B61" s="3"/>
      <c r="C61" s="3"/>
      <c r="D61" s="95" t="s">
        <v>439</v>
      </c>
      <c r="E61" s="95"/>
      <c r="F61" s="95"/>
      <c r="G61" s="44">
        <v>0.8</v>
      </c>
      <c r="H61" s="27"/>
    </row>
    <row r="62" spans="1:8" ht="12" customHeight="1">
      <c r="A62" s="3" t="s">
        <v>197</v>
      </c>
      <c r="B62" s="3" t="s">
        <v>47</v>
      </c>
      <c r="C62" s="3" t="s">
        <v>167</v>
      </c>
      <c r="D62" s="95" t="s">
        <v>440</v>
      </c>
      <c r="E62" s="95"/>
      <c r="F62" s="95"/>
      <c r="G62" s="44">
        <v>3</v>
      </c>
      <c r="H62" s="26">
        <v>0</v>
      </c>
    </row>
    <row r="63" spans="1:8" ht="12.75" customHeight="1">
      <c r="A63" s="24"/>
      <c r="B63" s="24"/>
      <c r="C63" s="24" t="s">
        <v>169</v>
      </c>
      <c r="D63" s="94" t="s">
        <v>170</v>
      </c>
      <c r="E63" s="94"/>
      <c r="F63" s="24"/>
      <c r="G63" s="18"/>
      <c r="H63" s="18"/>
    </row>
    <row r="64" spans="1:8" ht="12" customHeight="1">
      <c r="A64" s="3" t="s">
        <v>138</v>
      </c>
      <c r="B64" s="3" t="s">
        <v>47</v>
      </c>
      <c r="C64" s="3" t="s">
        <v>171</v>
      </c>
      <c r="D64" s="95" t="s">
        <v>441</v>
      </c>
      <c r="E64" s="95"/>
      <c r="F64" s="95"/>
      <c r="G64" s="44">
        <v>2.889</v>
      </c>
      <c r="H64" s="26">
        <v>0</v>
      </c>
    </row>
    <row r="65" spans="1:8" ht="12.75" customHeight="1">
      <c r="A65" s="24"/>
      <c r="B65" s="24"/>
      <c r="C65" s="24" t="s">
        <v>174</v>
      </c>
      <c r="D65" s="94" t="s">
        <v>175</v>
      </c>
      <c r="E65" s="94"/>
      <c r="F65" s="24"/>
      <c r="G65" s="18"/>
      <c r="H65" s="18"/>
    </row>
    <row r="66" spans="1:8" ht="12" customHeight="1">
      <c r="A66" s="3" t="s">
        <v>203</v>
      </c>
      <c r="B66" s="3" t="s">
        <v>47</v>
      </c>
      <c r="C66" s="3" t="s">
        <v>177</v>
      </c>
      <c r="D66" s="95" t="s">
        <v>442</v>
      </c>
      <c r="E66" s="95"/>
      <c r="F66" s="95"/>
      <c r="G66" s="44">
        <v>4.6008</v>
      </c>
      <c r="H66" s="26">
        <v>0</v>
      </c>
    </row>
    <row r="67" spans="1:8" ht="12" customHeight="1">
      <c r="A67" s="3" t="s">
        <v>208</v>
      </c>
      <c r="B67" s="3" t="s">
        <v>47</v>
      </c>
      <c r="C67" s="3" t="s">
        <v>183</v>
      </c>
      <c r="D67" s="95" t="s">
        <v>443</v>
      </c>
      <c r="E67" s="95"/>
      <c r="F67" s="95"/>
      <c r="G67" s="44">
        <v>8.799</v>
      </c>
      <c r="H67" s="26">
        <v>0</v>
      </c>
    </row>
    <row r="68" spans="1:8" ht="12.75">
      <c r="A68" s="3" t="s">
        <v>214</v>
      </c>
      <c r="B68" s="3" t="s">
        <v>47</v>
      </c>
      <c r="C68" s="3" t="s">
        <v>187</v>
      </c>
      <c r="D68" s="83" t="s">
        <v>188</v>
      </c>
      <c r="E68" s="83"/>
      <c r="F68" s="3" t="s">
        <v>84</v>
      </c>
      <c r="G68" s="26">
        <v>4.6</v>
      </c>
      <c r="H68" s="26">
        <v>0</v>
      </c>
    </row>
    <row r="69" spans="1:8" ht="12.75">
      <c r="A69" s="3" t="s">
        <v>219</v>
      </c>
      <c r="B69" s="3" t="s">
        <v>47</v>
      </c>
      <c r="C69" s="3" t="s">
        <v>190</v>
      </c>
      <c r="D69" s="83" t="s">
        <v>191</v>
      </c>
      <c r="E69" s="83"/>
      <c r="F69" s="3" t="s">
        <v>84</v>
      </c>
      <c r="G69" s="26">
        <v>8.8</v>
      </c>
      <c r="H69" s="26">
        <v>0</v>
      </c>
    </row>
    <row r="70" spans="1:8" ht="12.75">
      <c r="A70" s="3" t="s">
        <v>224</v>
      </c>
      <c r="B70" s="3" t="s">
        <v>47</v>
      </c>
      <c r="C70" s="3" t="s">
        <v>193</v>
      </c>
      <c r="D70" s="83" t="s">
        <v>194</v>
      </c>
      <c r="E70" s="83"/>
      <c r="F70" s="3" t="s">
        <v>111</v>
      </c>
      <c r="G70" s="26">
        <v>0.08</v>
      </c>
      <c r="H70" s="26">
        <v>0</v>
      </c>
    </row>
    <row r="71" spans="1:8" ht="12.75">
      <c r="A71" s="24"/>
      <c r="B71" s="24"/>
      <c r="C71" s="24" t="s">
        <v>195</v>
      </c>
      <c r="D71" s="94" t="s">
        <v>196</v>
      </c>
      <c r="E71" s="94"/>
      <c r="F71" s="24"/>
      <c r="G71" s="18"/>
      <c r="H71" s="18"/>
    </row>
    <row r="72" spans="1:8" ht="12" customHeight="1">
      <c r="A72" s="3" t="s">
        <v>227</v>
      </c>
      <c r="B72" s="3" t="s">
        <v>47</v>
      </c>
      <c r="C72" s="3" t="s">
        <v>198</v>
      </c>
      <c r="D72" s="95" t="s">
        <v>443</v>
      </c>
      <c r="E72" s="95"/>
      <c r="F72" s="95"/>
      <c r="G72" s="44">
        <v>8.799</v>
      </c>
      <c r="H72" s="26">
        <v>0</v>
      </c>
    </row>
    <row r="73" spans="1:8" ht="12.75">
      <c r="A73" s="3" t="s">
        <v>230</v>
      </c>
      <c r="B73" s="3" t="s">
        <v>47</v>
      </c>
      <c r="C73" s="3" t="s">
        <v>204</v>
      </c>
      <c r="D73" s="83" t="s">
        <v>205</v>
      </c>
      <c r="E73" s="83"/>
      <c r="F73" s="3" t="s">
        <v>111</v>
      </c>
      <c r="G73" s="26">
        <v>0.041</v>
      </c>
      <c r="H73" s="26">
        <v>0</v>
      </c>
    </row>
    <row r="74" spans="1:8" ht="12.75">
      <c r="A74" s="24"/>
      <c r="B74" s="24"/>
      <c r="C74" s="24" t="s">
        <v>206</v>
      </c>
      <c r="D74" s="94" t="s">
        <v>207</v>
      </c>
      <c r="E74" s="94"/>
      <c r="F74" s="24"/>
      <c r="G74" s="18"/>
      <c r="H74" s="18"/>
    </row>
    <row r="75" spans="1:8" ht="12.75">
      <c r="A75" s="3" t="s">
        <v>233</v>
      </c>
      <c r="B75" s="3" t="s">
        <v>47</v>
      </c>
      <c r="C75" s="3" t="s">
        <v>209</v>
      </c>
      <c r="D75" s="83" t="s">
        <v>444</v>
      </c>
      <c r="E75" s="83"/>
      <c r="F75" s="3" t="s">
        <v>211</v>
      </c>
      <c r="G75" s="26">
        <v>1</v>
      </c>
      <c r="H75" s="26">
        <v>0</v>
      </c>
    </row>
    <row r="76" spans="1:8" ht="12.75">
      <c r="A76" s="3" t="s">
        <v>236</v>
      </c>
      <c r="B76" s="3" t="s">
        <v>47</v>
      </c>
      <c r="C76" s="3" t="s">
        <v>215</v>
      </c>
      <c r="D76" s="83" t="s">
        <v>216</v>
      </c>
      <c r="E76" s="83"/>
      <c r="F76" s="3" t="s">
        <v>111</v>
      </c>
      <c r="G76" s="26">
        <v>0.0188</v>
      </c>
      <c r="H76" s="26">
        <v>0</v>
      </c>
    </row>
    <row r="77" spans="1:8" ht="12.75">
      <c r="A77" s="24"/>
      <c r="B77" s="24"/>
      <c r="C77" s="24" t="s">
        <v>217</v>
      </c>
      <c r="D77" s="94" t="s">
        <v>218</v>
      </c>
      <c r="E77" s="94"/>
      <c r="F77" s="24"/>
      <c r="G77" s="18"/>
      <c r="H77" s="18"/>
    </row>
    <row r="78" spans="1:8" ht="12" customHeight="1">
      <c r="A78" s="3" t="s">
        <v>241</v>
      </c>
      <c r="B78" s="3" t="s">
        <v>47</v>
      </c>
      <c r="C78" s="3" t="s">
        <v>220</v>
      </c>
      <c r="D78" s="95" t="s">
        <v>445</v>
      </c>
      <c r="E78" s="95"/>
      <c r="F78" s="95"/>
      <c r="G78" s="44">
        <v>1</v>
      </c>
      <c r="H78" s="26">
        <v>0</v>
      </c>
    </row>
    <row r="79" spans="1:8" ht="12" customHeight="1">
      <c r="A79" s="3" t="s">
        <v>144</v>
      </c>
      <c r="B79" s="3" t="s">
        <v>47</v>
      </c>
      <c r="C79" s="3" t="s">
        <v>225</v>
      </c>
      <c r="D79" s="95" t="s">
        <v>446</v>
      </c>
      <c r="E79" s="95"/>
      <c r="F79" s="95"/>
      <c r="G79" s="44">
        <v>0</v>
      </c>
      <c r="H79" s="26">
        <v>0</v>
      </c>
    </row>
    <row r="80" spans="1:8" ht="12.75">
      <c r="A80" s="3" t="s">
        <v>253</v>
      </c>
      <c r="B80" s="3" t="s">
        <v>47</v>
      </c>
      <c r="C80" s="3" t="s">
        <v>228</v>
      </c>
      <c r="D80" s="83" t="s">
        <v>229</v>
      </c>
      <c r="E80" s="83"/>
      <c r="F80" s="3" t="s">
        <v>133</v>
      </c>
      <c r="G80" s="26">
        <v>1</v>
      </c>
      <c r="H80" s="26">
        <v>0</v>
      </c>
    </row>
    <row r="81" spans="1:8" ht="12.75">
      <c r="A81" s="3" t="s">
        <v>256</v>
      </c>
      <c r="B81" s="3" t="s">
        <v>47</v>
      </c>
      <c r="C81" s="3" t="s">
        <v>231</v>
      </c>
      <c r="D81" s="83" t="s">
        <v>232</v>
      </c>
      <c r="E81" s="83"/>
      <c r="F81" s="3" t="s">
        <v>133</v>
      </c>
      <c r="G81" s="26">
        <v>1</v>
      </c>
      <c r="H81" s="26">
        <v>0</v>
      </c>
    </row>
    <row r="82" spans="1:8" ht="12.75">
      <c r="A82" s="3" t="s">
        <v>261</v>
      </c>
      <c r="B82" s="3" t="s">
        <v>47</v>
      </c>
      <c r="C82" s="3" t="s">
        <v>234</v>
      </c>
      <c r="D82" s="83" t="s">
        <v>447</v>
      </c>
      <c r="E82" s="83"/>
      <c r="F82" s="3" t="s">
        <v>133</v>
      </c>
      <c r="G82" s="26">
        <v>1</v>
      </c>
      <c r="H82" s="26">
        <v>0</v>
      </c>
    </row>
    <row r="83" spans="1:8" ht="12.75">
      <c r="A83" s="3" t="s">
        <v>266</v>
      </c>
      <c r="B83" s="3" t="s">
        <v>47</v>
      </c>
      <c r="C83" s="3" t="s">
        <v>237</v>
      </c>
      <c r="D83" s="83" t="s">
        <v>238</v>
      </c>
      <c r="E83" s="83"/>
      <c r="F83" s="3" t="s">
        <v>111</v>
      </c>
      <c r="G83" s="26">
        <v>0</v>
      </c>
      <c r="H83" s="26">
        <v>0</v>
      </c>
    </row>
    <row r="84" spans="1:8" ht="12.75">
      <c r="A84" s="24"/>
      <c r="B84" s="24"/>
      <c r="C84" s="24" t="s">
        <v>239</v>
      </c>
      <c r="D84" s="94" t="s">
        <v>240</v>
      </c>
      <c r="E84" s="94"/>
      <c r="F84" s="24"/>
      <c r="G84" s="18"/>
      <c r="H84" s="18"/>
    </row>
    <row r="85" spans="1:8" ht="12.75" customHeight="1">
      <c r="A85" s="3" t="s">
        <v>269</v>
      </c>
      <c r="B85" s="3" t="s">
        <v>47</v>
      </c>
      <c r="C85" s="3" t="s">
        <v>242</v>
      </c>
      <c r="D85" s="83" t="s">
        <v>243</v>
      </c>
      <c r="E85" s="83"/>
      <c r="F85" s="3" t="s">
        <v>84</v>
      </c>
      <c r="G85" s="26">
        <v>50</v>
      </c>
      <c r="H85" s="26">
        <v>0</v>
      </c>
    </row>
    <row r="86" spans="1:8" ht="12.75">
      <c r="A86" s="24"/>
      <c r="B86" s="24"/>
      <c r="C86" s="24" t="s">
        <v>246</v>
      </c>
      <c r="D86" s="94" t="s">
        <v>247</v>
      </c>
      <c r="E86" s="94"/>
      <c r="F86" s="24"/>
      <c r="G86" s="18"/>
      <c r="H86" s="18"/>
    </row>
    <row r="87" spans="1:8" ht="12.75">
      <c r="A87" s="3" t="s">
        <v>272</v>
      </c>
      <c r="B87" s="3" t="s">
        <v>47</v>
      </c>
      <c r="C87" s="3" t="s">
        <v>248</v>
      </c>
      <c r="D87" s="83" t="s">
        <v>249</v>
      </c>
      <c r="E87" s="83"/>
      <c r="F87" s="3" t="s">
        <v>156</v>
      </c>
      <c r="G87" s="26">
        <v>6</v>
      </c>
      <c r="H87" s="26">
        <v>0</v>
      </c>
    </row>
    <row r="88" spans="1:8" ht="12.75">
      <c r="A88" s="3" t="s">
        <v>277</v>
      </c>
      <c r="B88" s="3" t="s">
        <v>47</v>
      </c>
      <c r="C88" s="3" t="s">
        <v>254</v>
      </c>
      <c r="D88" s="83" t="s">
        <v>255</v>
      </c>
      <c r="E88" s="83"/>
      <c r="F88" s="3" t="s">
        <v>133</v>
      </c>
      <c r="G88" s="26">
        <v>1</v>
      </c>
      <c r="H88" s="26">
        <v>0</v>
      </c>
    </row>
    <row r="89" spans="1:8" ht="12.75">
      <c r="A89" s="3" t="s">
        <v>281</v>
      </c>
      <c r="B89" s="3" t="s">
        <v>47</v>
      </c>
      <c r="C89" s="3" t="s">
        <v>257</v>
      </c>
      <c r="D89" s="83" t="s">
        <v>258</v>
      </c>
      <c r="E89" s="83"/>
      <c r="F89" s="3" t="s">
        <v>111</v>
      </c>
      <c r="G89" s="26">
        <v>0.092</v>
      </c>
      <c r="H89" s="26">
        <v>0</v>
      </c>
    </row>
    <row r="90" spans="1:8" ht="12.75">
      <c r="A90" s="24"/>
      <c r="B90" s="24"/>
      <c r="C90" s="24" t="s">
        <v>379</v>
      </c>
      <c r="D90" s="94" t="s">
        <v>380</v>
      </c>
      <c r="E90" s="94"/>
      <c r="F90" s="24"/>
      <c r="G90" s="18"/>
      <c r="H90" s="18"/>
    </row>
    <row r="91" spans="1:8" ht="12.75">
      <c r="A91" s="3" t="s">
        <v>284</v>
      </c>
      <c r="B91" s="3" t="s">
        <v>346</v>
      </c>
      <c r="C91" s="3" t="s">
        <v>448</v>
      </c>
      <c r="D91" s="83" t="s">
        <v>383</v>
      </c>
      <c r="E91" s="83"/>
      <c r="F91" s="3" t="s">
        <v>156</v>
      </c>
      <c r="G91" s="26">
        <v>19.5</v>
      </c>
      <c r="H91" s="26">
        <v>0</v>
      </c>
    </row>
    <row r="92" spans="1:8" ht="12.75">
      <c r="A92" s="3" t="s">
        <v>287</v>
      </c>
      <c r="B92" s="3" t="s">
        <v>346</v>
      </c>
      <c r="C92" s="3" t="s">
        <v>388</v>
      </c>
      <c r="D92" s="83" t="s">
        <v>389</v>
      </c>
      <c r="E92" s="83"/>
      <c r="F92" s="3" t="s">
        <v>156</v>
      </c>
      <c r="G92" s="26">
        <v>7</v>
      </c>
      <c r="H92" s="26">
        <v>0</v>
      </c>
    </row>
    <row r="93" spans="1:8" ht="12.75">
      <c r="A93" s="3" t="s">
        <v>290</v>
      </c>
      <c r="B93" s="3" t="s">
        <v>346</v>
      </c>
      <c r="C93" s="3" t="s">
        <v>392</v>
      </c>
      <c r="D93" s="83" t="s">
        <v>449</v>
      </c>
      <c r="E93" s="83"/>
      <c r="F93" s="3" t="s">
        <v>133</v>
      </c>
      <c r="G93" s="26">
        <v>2</v>
      </c>
      <c r="H93" s="26">
        <v>0</v>
      </c>
    </row>
    <row r="94" spans="1:8" ht="12.75">
      <c r="A94" s="24"/>
      <c r="B94" s="24"/>
      <c r="C94" s="24" t="s">
        <v>259</v>
      </c>
      <c r="D94" s="94" t="s">
        <v>260</v>
      </c>
      <c r="E94" s="94"/>
      <c r="F94" s="24"/>
      <c r="G94" s="18"/>
      <c r="H94" s="18"/>
    </row>
    <row r="95" spans="1:8" ht="12" customHeight="1">
      <c r="A95" s="3" t="s">
        <v>295</v>
      </c>
      <c r="B95" s="3" t="s">
        <v>47</v>
      </c>
      <c r="C95" s="3" t="s">
        <v>262</v>
      </c>
      <c r="D95" s="95" t="s">
        <v>450</v>
      </c>
      <c r="E95" s="95"/>
      <c r="F95" s="95"/>
      <c r="G95" s="44">
        <v>30</v>
      </c>
      <c r="H95" s="26">
        <v>0</v>
      </c>
    </row>
    <row r="96" spans="1:8" ht="12" customHeight="1">
      <c r="A96" s="3" t="s">
        <v>299</v>
      </c>
      <c r="B96" s="3" t="s">
        <v>47</v>
      </c>
      <c r="C96" s="3" t="s">
        <v>267</v>
      </c>
      <c r="D96" s="95" t="s">
        <v>451</v>
      </c>
      <c r="E96" s="95"/>
      <c r="F96" s="95"/>
      <c r="G96" s="44">
        <v>14</v>
      </c>
      <c r="H96" s="26">
        <v>0</v>
      </c>
    </row>
    <row r="97" spans="1:8" ht="12" customHeight="1">
      <c r="A97" s="3" t="s">
        <v>151</v>
      </c>
      <c r="B97" s="3" t="s">
        <v>47</v>
      </c>
      <c r="C97" s="3" t="s">
        <v>270</v>
      </c>
      <c r="D97" s="95" t="s">
        <v>452</v>
      </c>
      <c r="E97" s="95"/>
      <c r="F97" s="95"/>
      <c r="G97" s="44">
        <v>420</v>
      </c>
      <c r="H97" s="26">
        <v>0</v>
      </c>
    </row>
    <row r="98" spans="1:8" ht="12.75">
      <c r="A98" s="3" t="s">
        <v>309</v>
      </c>
      <c r="B98" s="3" t="s">
        <v>47</v>
      </c>
      <c r="C98" s="3" t="s">
        <v>273</v>
      </c>
      <c r="D98" s="83" t="s">
        <v>274</v>
      </c>
      <c r="E98" s="83"/>
      <c r="F98" s="3" t="s">
        <v>84</v>
      </c>
      <c r="G98" s="26">
        <v>14</v>
      </c>
      <c r="H98" s="26">
        <v>0</v>
      </c>
    </row>
    <row r="99" spans="1:8" ht="12.75">
      <c r="A99" s="24"/>
      <c r="B99" s="24"/>
      <c r="C99" s="24" t="s">
        <v>275</v>
      </c>
      <c r="D99" s="94" t="s">
        <v>276</v>
      </c>
      <c r="E99" s="94"/>
      <c r="F99" s="24"/>
      <c r="G99" s="18"/>
      <c r="H99" s="18"/>
    </row>
    <row r="100" spans="1:8" ht="12.75">
      <c r="A100" s="3" t="s">
        <v>159</v>
      </c>
      <c r="B100" s="3" t="s">
        <v>47</v>
      </c>
      <c r="C100" s="3" t="s">
        <v>278</v>
      </c>
      <c r="D100" s="83" t="s">
        <v>279</v>
      </c>
      <c r="E100" s="83"/>
      <c r="F100" s="3" t="s">
        <v>54</v>
      </c>
      <c r="G100" s="26">
        <v>2.529</v>
      </c>
      <c r="H100" s="26">
        <v>0</v>
      </c>
    </row>
    <row r="101" spans="4:7" ht="12" customHeight="1">
      <c r="D101" s="95" t="s">
        <v>453</v>
      </c>
      <c r="E101" s="95"/>
      <c r="F101" s="95"/>
      <c r="G101" s="44">
        <v>0.87</v>
      </c>
    </row>
    <row r="102" spans="1:8" ht="12" customHeight="1">
      <c r="A102" s="3"/>
      <c r="B102" s="3"/>
      <c r="C102" s="3"/>
      <c r="D102" s="95" t="s">
        <v>454</v>
      </c>
      <c r="E102" s="95"/>
      <c r="F102" s="95"/>
      <c r="G102" s="44">
        <v>0.36</v>
      </c>
      <c r="H102" s="27"/>
    </row>
    <row r="103" spans="1:8" ht="12" customHeight="1">
      <c r="A103" s="3"/>
      <c r="B103" s="3"/>
      <c r="C103" s="3"/>
      <c r="D103" s="95" t="s">
        <v>455</v>
      </c>
      <c r="E103" s="95"/>
      <c r="F103" s="95"/>
      <c r="G103" s="44">
        <v>1.059</v>
      </c>
      <c r="H103" s="27"/>
    </row>
    <row r="104" spans="1:8" ht="12" customHeight="1">
      <c r="A104" s="3"/>
      <c r="B104" s="3"/>
      <c r="C104" s="3"/>
      <c r="D104" s="95" t="s">
        <v>456</v>
      </c>
      <c r="E104" s="95"/>
      <c r="F104" s="95"/>
      <c r="G104" s="44">
        <v>0.24</v>
      </c>
      <c r="H104" s="27"/>
    </row>
    <row r="105" spans="1:8" ht="12.75">
      <c r="A105" s="3" t="s">
        <v>169</v>
      </c>
      <c r="B105" s="3" t="s">
        <v>47</v>
      </c>
      <c r="C105" s="3" t="s">
        <v>282</v>
      </c>
      <c r="D105" s="83" t="s">
        <v>283</v>
      </c>
      <c r="E105" s="83"/>
      <c r="F105" s="3" t="s">
        <v>133</v>
      </c>
      <c r="G105" s="26">
        <v>3.6</v>
      </c>
      <c r="H105" s="26">
        <v>0</v>
      </c>
    </row>
    <row r="106" spans="4:7" ht="12" customHeight="1">
      <c r="D106" s="95" t="s">
        <v>457</v>
      </c>
      <c r="E106" s="95"/>
      <c r="F106" s="95"/>
      <c r="G106" s="44">
        <v>0.36</v>
      </c>
    </row>
    <row r="107" spans="1:8" ht="12" customHeight="1">
      <c r="A107" s="3"/>
      <c r="B107" s="3"/>
      <c r="C107" s="3"/>
      <c r="D107" s="95" t="s">
        <v>458</v>
      </c>
      <c r="E107" s="95"/>
      <c r="F107" s="95"/>
      <c r="G107" s="44">
        <v>1.08</v>
      </c>
      <c r="H107" s="27"/>
    </row>
    <row r="108" spans="1:8" ht="12" customHeight="1">
      <c r="A108" s="3"/>
      <c r="B108" s="3"/>
      <c r="C108" s="3"/>
      <c r="D108" s="95" t="s">
        <v>459</v>
      </c>
      <c r="E108" s="95"/>
      <c r="F108" s="95"/>
      <c r="G108" s="44">
        <v>2.16</v>
      </c>
      <c r="H108" s="27"/>
    </row>
    <row r="109" spans="1:8" ht="12" customHeight="1">
      <c r="A109" s="3" t="s">
        <v>324</v>
      </c>
      <c r="B109" s="3" t="s">
        <v>47</v>
      </c>
      <c r="C109" s="3" t="s">
        <v>285</v>
      </c>
      <c r="D109" s="95" t="s">
        <v>460</v>
      </c>
      <c r="E109" s="95"/>
      <c r="F109" s="95"/>
      <c r="G109" s="44">
        <v>0.36</v>
      </c>
      <c r="H109" s="26">
        <v>0</v>
      </c>
    </row>
    <row r="110" spans="1:8" ht="12.75" customHeight="1">
      <c r="A110" s="3" t="s">
        <v>328</v>
      </c>
      <c r="B110" s="3" t="s">
        <v>47</v>
      </c>
      <c r="C110" s="3" t="s">
        <v>288</v>
      </c>
      <c r="D110" s="83" t="s">
        <v>289</v>
      </c>
      <c r="E110" s="83"/>
      <c r="F110" s="3" t="s">
        <v>84</v>
      </c>
      <c r="G110" s="26">
        <v>3.24</v>
      </c>
      <c r="H110" s="26">
        <v>0</v>
      </c>
    </row>
    <row r="111" spans="4:7" ht="12" customHeight="1">
      <c r="D111" s="95" t="s">
        <v>461</v>
      </c>
      <c r="E111" s="95"/>
      <c r="F111" s="95"/>
      <c r="G111" s="44">
        <v>1.08</v>
      </c>
    </row>
    <row r="112" spans="1:8" ht="12" customHeight="1">
      <c r="A112" s="3"/>
      <c r="B112" s="3"/>
      <c r="C112" s="3"/>
      <c r="D112" s="95" t="s">
        <v>459</v>
      </c>
      <c r="E112" s="95"/>
      <c r="F112" s="95"/>
      <c r="G112" s="44">
        <v>2.16</v>
      </c>
      <c r="H112" s="27"/>
    </row>
    <row r="113" spans="1:8" ht="12" customHeight="1">
      <c r="A113" s="3" t="s">
        <v>333</v>
      </c>
      <c r="B113" s="3" t="s">
        <v>47</v>
      </c>
      <c r="C113" s="3" t="s">
        <v>291</v>
      </c>
      <c r="D113" s="95" t="s">
        <v>462</v>
      </c>
      <c r="E113" s="95"/>
      <c r="F113" s="95"/>
      <c r="G113" s="44">
        <v>1.6</v>
      </c>
      <c r="H113" s="26">
        <v>0</v>
      </c>
    </row>
    <row r="114" spans="1:8" ht="12.75">
      <c r="A114" s="24"/>
      <c r="B114" s="24"/>
      <c r="C114" s="24" t="s">
        <v>293</v>
      </c>
      <c r="D114" s="94" t="s">
        <v>294</v>
      </c>
      <c r="E114" s="94"/>
      <c r="F114" s="24"/>
      <c r="G114" s="18"/>
      <c r="H114" s="18"/>
    </row>
    <row r="115" spans="1:8" ht="12.75">
      <c r="A115" s="3" t="s">
        <v>337</v>
      </c>
      <c r="B115" s="3" t="s">
        <v>47</v>
      </c>
      <c r="C115" s="3" t="s">
        <v>296</v>
      </c>
      <c r="D115" s="83" t="s">
        <v>297</v>
      </c>
      <c r="E115" s="83"/>
      <c r="F115" s="3" t="s">
        <v>133</v>
      </c>
      <c r="G115" s="26">
        <v>12</v>
      </c>
      <c r="H115" s="26">
        <v>0</v>
      </c>
    </row>
    <row r="116" spans="4:7" ht="12" customHeight="1">
      <c r="D116" s="95" t="s">
        <v>463</v>
      </c>
      <c r="E116" s="95"/>
      <c r="F116" s="95"/>
      <c r="G116" s="44">
        <v>8</v>
      </c>
    </row>
    <row r="117" spans="1:8" ht="12" customHeight="1">
      <c r="A117" s="3"/>
      <c r="B117" s="3"/>
      <c r="C117" s="3"/>
      <c r="D117" s="95" t="s">
        <v>464</v>
      </c>
      <c r="E117" s="95"/>
      <c r="F117" s="95"/>
      <c r="G117" s="44">
        <v>4</v>
      </c>
      <c r="H117" s="27"/>
    </row>
    <row r="118" spans="1:8" ht="12" customHeight="1">
      <c r="A118" s="3" t="s">
        <v>340</v>
      </c>
      <c r="B118" s="3" t="s">
        <v>47</v>
      </c>
      <c r="C118" s="3" t="s">
        <v>300</v>
      </c>
      <c r="D118" s="95" t="s">
        <v>465</v>
      </c>
      <c r="E118" s="95"/>
      <c r="F118" s="95"/>
      <c r="G118" s="44">
        <v>6</v>
      </c>
      <c r="H118" s="26">
        <v>0</v>
      </c>
    </row>
    <row r="119" spans="1:8" ht="12.75">
      <c r="A119" s="24"/>
      <c r="B119" s="24"/>
      <c r="C119" s="24" t="s">
        <v>394</v>
      </c>
      <c r="D119" s="94" t="s">
        <v>395</v>
      </c>
      <c r="E119" s="94"/>
      <c r="F119" s="24"/>
      <c r="G119" s="18"/>
      <c r="H119" s="18"/>
    </row>
    <row r="120" spans="1:8" ht="12.75">
      <c r="A120" s="3" t="s">
        <v>343</v>
      </c>
      <c r="B120" s="3" t="s">
        <v>346</v>
      </c>
      <c r="C120" s="3" t="s">
        <v>397</v>
      </c>
      <c r="D120" s="83" t="s">
        <v>398</v>
      </c>
      <c r="E120" s="83"/>
      <c r="F120" s="3" t="s">
        <v>111</v>
      </c>
      <c r="G120" s="26">
        <v>155.29</v>
      </c>
      <c r="H120" s="26">
        <v>0</v>
      </c>
    </row>
    <row r="121" spans="1:8" ht="12.75">
      <c r="A121" s="24"/>
      <c r="B121" s="24"/>
      <c r="C121" s="24" t="s">
        <v>302</v>
      </c>
      <c r="D121" s="94" t="s">
        <v>303</v>
      </c>
      <c r="E121" s="94"/>
      <c r="F121" s="24"/>
      <c r="G121" s="18"/>
      <c r="H121" s="18"/>
    </row>
    <row r="122" spans="1:8" ht="12.75">
      <c r="A122" s="3" t="s">
        <v>349</v>
      </c>
      <c r="B122" s="3" t="s">
        <v>47</v>
      </c>
      <c r="C122" s="3" t="s">
        <v>304</v>
      </c>
      <c r="D122" s="83" t="s">
        <v>305</v>
      </c>
      <c r="E122" s="83"/>
      <c r="F122" s="3" t="s">
        <v>111</v>
      </c>
      <c r="G122" s="26">
        <v>12.28</v>
      </c>
      <c r="H122" s="26">
        <v>0</v>
      </c>
    </row>
    <row r="123" spans="1:8" ht="12.75">
      <c r="A123" s="24"/>
      <c r="B123" s="24"/>
      <c r="C123" s="24" t="s">
        <v>307</v>
      </c>
      <c r="D123" s="94" t="s">
        <v>308</v>
      </c>
      <c r="E123" s="94"/>
      <c r="F123" s="24"/>
      <c r="G123" s="18"/>
      <c r="H123" s="18"/>
    </row>
    <row r="124" spans="1:8" ht="12.75">
      <c r="A124" s="3" t="s">
        <v>355</v>
      </c>
      <c r="B124" s="3" t="s">
        <v>47</v>
      </c>
      <c r="C124" s="3" t="s">
        <v>310</v>
      </c>
      <c r="D124" s="83" t="s">
        <v>466</v>
      </c>
      <c r="E124" s="83"/>
      <c r="F124" s="3" t="s">
        <v>156</v>
      </c>
      <c r="G124" s="26">
        <v>1</v>
      </c>
      <c r="H124" s="26">
        <v>0</v>
      </c>
    </row>
    <row r="125" spans="1:8" ht="12.75">
      <c r="A125" s="24"/>
      <c r="B125" s="24"/>
      <c r="C125" s="24" t="s">
        <v>313</v>
      </c>
      <c r="D125" s="94" t="s">
        <v>314</v>
      </c>
      <c r="E125" s="94"/>
      <c r="F125" s="24"/>
      <c r="G125" s="18"/>
      <c r="H125" s="18"/>
    </row>
    <row r="126" spans="1:8" ht="12.75">
      <c r="A126" s="3" t="s">
        <v>356</v>
      </c>
      <c r="B126" s="3" t="s">
        <v>47</v>
      </c>
      <c r="C126" s="3" t="s">
        <v>315</v>
      </c>
      <c r="D126" s="83" t="s">
        <v>467</v>
      </c>
      <c r="E126" s="83"/>
      <c r="F126" s="3" t="s">
        <v>133</v>
      </c>
      <c r="G126" s="26">
        <v>1</v>
      </c>
      <c r="H126" s="26">
        <v>0</v>
      </c>
    </row>
    <row r="127" spans="1:8" ht="12.75">
      <c r="A127" s="24"/>
      <c r="B127" s="24"/>
      <c r="C127" s="24" t="s">
        <v>318</v>
      </c>
      <c r="D127" s="94" t="s">
        <v>319</v>
      </c>
      <c r="E127" s="94"/>
      <c r="F127" s="24"/>
      <c r="G127" s="18"/>
      <c r="H127" s="18"/>
    </row>
    <row r="128" spans="1:8" ht="12.75">
      <c r="A128" s="3" t="s">
        <v>359</v>
      </c>
      <c r="B128" s="3" t="s">
        <v>47</v>
      </c>
      <c r="C128" s="3" t="s">
        <v>320</v>
      </c>
      <c r="D128" s="83" t="s">
        <v>321</v>
      </c>
      <c r="E128" s="83"/>
      <c r="F128" s="3" t="s">
        <v>156</v>
      </c>
      <c r="G128" s="26">
        <v>9</v>
      </c>
      <c r="H128" s="26">
        <v>0</v>
      </c>
    </row>
    <row r="129" spans="1:8" ht="12.75">
      <c r="A129" s="3" t="s">
        <v>362</v>
      </c>
      <c r="B129" s="3" t="s">
        <v>47</v>
      </c>
      <c r="C129" s="3" t="s">
        <v>325</v>
      </c>
      <c r="D129" s="83" t="s">
        <v>326</v>
      </c>
      <c r="E129" s="83"/>
      <c r="F129" s="3" t="s">
        <v>156</v>
      </c>
      <c r="G129" s="26">
        <v>9</v>
      </c>
      <c r="H129" s="26">
        <v>0</v>
      </c>
    </row>
    <row r="130" spans="1:8" ht="12.75">
      <c r="A130" s="3" t="s">
        <v>364</v>
      </c>
      <c r="B130" s="3" t="s">
        <v>47</v>
      </c>
      <c r="C130" s="3" t="s">
        <v>329</v>
      </c>
      <c r="D130" s="83" t="s">
        <v>330</v>
      </c>
      <c r="E130" s="83"/>
      <c r="F130" s="3" t="s">
        <v>84</v>
      </c>
      <c r="G130" s="26">
        <v>4</v>
      </c>
      <c r="H130" s="26">
        <v>0</v>
      </c>
    </row>
    <row r="131" spans="1:8" ht="12.75" customHeight="1">
      <c r="A131" s="24"/>
      <c r="B131" s="24"/>
      <c r="C131" s="24" t="s">
        <v>331</v>
      </c>
      <c r="D131" s="94" t="s">
        <v>332</v>
      </c>
      <c r="E131" s="94"/>
      <c r="F131" s="24"/>
      <c r="G131" s="18"/>
      <c r="H131" s="18"/>
    </row>
    <row r="132" spans="1:8" ht="12.75">
      <c r="A132" s="3" t="s">
        <v>370</v>
      </c>
      <c r="B132" s="3" t="s">
        <v>47</v>
      </c>
      <c r="C132" s="3" t="s">
        <v>334</v>
      </c>
      <c r="D132" s="83" t="s">
        <v>335</v>
      </c>
      <c r="E132" s="83"/>
      <c r="F132" s="3" t="s">
        <v>111</v>
      </c>
      <c r="G132" s="26">
        <v>4.93</v>
      </c>
      <c r="H132" s="26">
        <v>0</v>
      </c>
    </row>
    <row r="133" spans="1:8" ht="12.75" customHeight="1">
      <c r="A133" s="3" t="s">
        <v>373</v>
      </c>
      <c r="B133" s="3" t="s">
        <v>47</v>
      </c>
      <c r="C133" s="3" t="s">
        <v>338</v>
      </c>
      <c r="D133" s="83" t="s">
        <v>339</v>
      </c>
      <c r="E133" s="83"/>
      <c r="F133" s="3" t="s">
        <v>111</v>
      </c>
      <c r="G133" s="26">
        <v>4.93</v>
      </c>
      <c r="H133" s="26">
        <v>0</v>
      </c>
    </row>
    <row r="134" spans="1:8" ht="12" customHeight="1">
      <c r="A134" s="3" t="s">
        <v>376</v>
      </c>
      <c r="B134" s="3" t="s">
        <v>47</v>
      </c>
      <c r="C134" s="3" t="s">
        <v>341</v>
      </c>
      <c r="D134" s="95" t="s">
        <v>468</v>
      </c>
      <c r="E134" s="95"/>
      <c r="F134" s="95"/>
      <c r="G134" s="44">
        <v>44.37</v>
      </c>
      <c r="H134" s="26">
        <v>0</v>
      </c>
    </row>
    <row r="135" spans="1:8" ht="12.75">
      <c r="A135" s="3" t="s">
        <v>381</v>
      </c>
      <c r="B135" s="3" t="s">
        <v>47</v>
      </c>
      <c r="C135" s="3" t="s">
        <v>344</v>
      </c>
      <c r="D135" s="83" t="s">
        <v>469</v>
      </c>
      <c r="E135" s="83"/>
      <c r="F135" s="3" t="s">
        <v>111</v>
      </c>
      <c r="G135" s="26">
        <v>4.93</v>
      </c>
      <c r="H135" s="26">
        <v>0</v>
      </c>
    </row>
    <row r="137" ht="11.25" customHeight="1">
      <c r="A137" s="33" t="s">
        <v>401</v>
      </c>
    </row>
    <row r="138" spans="1:7" ht="12.75">
      <c r="A138" s="77"/>
      <c r="B138" s="77"/>
      <c r="C138" s="77"/>
      <c r="D138" s="77"/>
      <c r="E138" s="77"/>
      <c r="F138" s="77"/>
      <c r="G138" s="77"/>
    </row>
  </sheetData>
  <sheetProtection selectLockedCells="1" selectUnlockedCells="1"/>
  <mergeCells count="144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D12:F12"/>
    <mergeCell ref="D13:E13"/>
    <mergeCell ref="D14:F14"/>
    <mergeCell ref="D15:E15"/>
    <mergeCell ref="D16:F16"/>
    <mergeCell ref="D17:F17"/>
    <mergeCell ref="D18:E18"/>
    <mergeCell ref="D19:F19"/>
    <mergeCell ref="D20:E20"/>
    <mergeCell ref="D21:E21"/>
    <mergeCell ref="D22:F22"/>
    <mergeCell ref="D23:F23"/>
    <mergeCell ref="D24:F24"/>
    <mergeCell ref="D25:E25"/>
    <mergeCell ref="D26:F26"/>
    <mergeCell ref="D27:E27"/>
    <mergeCell ref="D28:F28"/>
    <mergeCell ref="D29:E29"/>
    <mergeCell ref="D30:E30"/>
    <mergeCell ref="D31:F31"/>
    <mergeCell ref="D32:F32"/>
    <mergeCell ref="D33:F33"/>
    <mergeCell ref="D34:F34"/>
    <mergeCell ref="D35:F35"/>
    <mergeCell ref="D36:E36"/>
    <mergeCell ref="D37:E37"/>
    <mergeCell ref="D38:F38"/>
    <mergeCell ref="D39:F39"/>
    <mergeCell ref="D40:F40"/>
    <mergeCell ref="D41:F41"/>
    <mergeCell ref="D42:E42"/>
    <mergeCell ref="D43:F43"/>
    <mergeCell ref="D44:F44"/>
    <mergeCell ref="D45:F45"/>
    <mergeCell ref="D46:F46"/>
    <mergeCell ref="D47:E47"/>
    <mergeCell ref="D48:F48"/>
    <mergeCell ref="D49:E49"/>
    <mergeCell ref="D50:F50"/>
    <mergeCell ref="D51:E51"/>
    <mergeCell ref="D52:E52"/>
    <mergeCell ref="D53:E53"/>
    <mergeCell ref="D54:E54"/>
    <mergeCell ref="D55:E55"/>
    <mergeCell ref="D56:E56"/>
    <mergeCell ref="D57:E57"/>
    <mergeCell ref="D58:E58"/>
    <mergeCell ref="D59:F59"/>
    <mergeCell ref="D60:F60"/>
    <mergeCell ref="D61:F61"/>
    <mergeCell ref="D62:F62"/>
    <mergeCell ref="D63:E63"/>
    <mergeCell ref="D64:F64"/>
    <mergeCell ref="D65:E65"/>
    <mergeCell ref="D66:F66"/>
    <mergeCell ref="D67:F67"/>
    <mergeCell ref="D68:E68"/>
    <mergeCell ref="D69:E69"/>
    <mergeCell ref="D70:E70"/>
    <mergeCell ref="D71:E71"/>
    <mergeCell ref="D72:F72"/>
    <mergeCell ref="D73:E73"/>
    <mergeCell ref="D74:E74"/>
    <mergeCell ref="D75:E75"/>
    <mergeCell ref="D76:E76"/>
    <mergeCell ref="D77:E77"/>
    <mergeCell ref="D78:F78"/>
    <mergeCell ref="D79:F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F95"/>
    <mergeCell ref="D96:F96"/>
    <mergeCell ref="D97:F97"/>
    <mergeCell ref="D98:E98"/>
    <mergeCell ref="D99:E99"/>
    <mergeCell ref="D100:E100"/>
    <mergeCell ref="D101:F101"/>
    <mergeCell ref="D102:F102"/>
    <mergeCell ref="D103:F103"/>
    <mergeCell ref="D104:F104"/>
    <mergeCell ref="D105:E105"/>
    <mergeCell ref="D106:F106"/>
    <mergeCell ref="D107:F107"/>
    <mergeCell ref="D108:F108"/>
    <mergeCell ref="D109:F109"/>
    <mergeCell ref="D110:E110"/>
    <mergeCell ref="D111:F111"/>
    <mergeCell ref="D112:F112"/>
    <mergeCell ref="D113:F113"/>
    <mergeCell ref="D114:E114"/>
    <mergeCell ref="D115:E115"/>
    <mergeCell ref="D116:F116"/>
    <mergeCell ref="D117:F117"/>
    <mergeCell ref="D118:F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A138:G138"/>
    <mergeCell ref="D130:E130"/>
    <mergeCell ref="D131:E131"/>
    <mergeCell ref="D132:E132"/>
    <mergeCell ref="D133:E133"/>
    <mergeCell ref="D134:F134"/>
    <mergeCell ref="D135:E13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4">
      <selection activeCell="G23" sqref="G23:H2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5"/>
      <c r="B1" s="46"/>
      <c r="C1" s="110" t="s">
        <v>470</v>
      </c>
      <c r="D1" s="110"/>
      <c r="E1" s="110"/>
      <c r="F1" s="110"/>
      <c r="G1" s="110"/>
      <c r="H1" s="110"/>
      <c r="I1" s="110"/>
    </row>
    <row r="2" spans="1:10" ht="12.75" customHeight="1">
      <c r="A2" s="86" t="s">
        <v>1</v>
      </c>
      <c r="B2" s="86"/>
      <c r="C2" s="87" t="str">
        <f>'Stavební rozpočet'!D2</f>
        <v>Výtah OÚ Malšice</v>
      </c>
      <c r="D2" s="87"/>
      <c r="E2" s="89" t="s">
        <v>5</v>
      </c>
      <c r="F2" s="89" t="str">
        <f>'Stavební rozpočet'!I2</f>
        <v> </v>
      </c>
      <c r="G2" s="89"/>
      <c r="H2" s="89" t="s">
        <v>471</v>
      </c>
      <c r="I2" s="90"/>
      <c r="J2" s="1"/>
    </row>
    <row r="3" spans="1:10" ht="12.75">
      <c r="A3" s="86"/>
      <c r="B3" s="86"/>
      <c r="C3" s="87"/>
      <c r="D3" s="87"/>
      <c r="E3" s="89"/>
      <c r="F3" s="89"/>
      <c r="G3" s="89"/>
      <c r="H3" s="89"/>
      <c r="I3" s="90"/>
      <c r="J3" s="1"/>
    </row>
    <row r="4" spans="1:10" ht="12.75" customHeight="1">
      <c r="A4" s="82" t="s">
        <v>7</v>
      </c>
      <c r="B4" s="82"/>
      <c r="C4" s="77" t="str">
        <f>'Stavební rozpočet'!D4</f>
        <v> </v>
      </c>
      <c r="D4" s="77"/>
      <c r="E4" s="77" t="s">
        <v>10</v>
      </c>
      <c r="F4" s="77" t="str">
        <f>'Stavební rozpočet'!I4</f>
        <v> Ing. arch. Jiří Neužil</v>
      </c>
      <c r="G4" s="77"/>
      <c r="H4" s="77" t="s">
        <v>471</v>
      </c>
      <c r="I4" s="84"/>
      <c r="J4" s="1"/>
    </row>
    <row r="5" spans="1:10" ht="12.75">
      <c r="A5" s="82"/>
      <c r="B5" s="82"/>
      <c r="C5" s="77"/>
      <c r="D5" s="77"/>
      <c r="E5" s="77"/>
      <c r="F5" s="77"/>
      <c r="G5" s="77"/>
      <c r="H5" s="77"/>
      <c r="I5" s="84"/>
      <c r="J5" s="1"/>
    </row>
    <row r="6" spans="1:10" ht="12.75" customHeight="1">
      <c r="A6" s="82" t="s">
        <v>11</v>
      </c>
      <c r="B6" s="82"/>
      <c r="C6" s="77" t="str">
        <f>'Stavební rozpočet'!D6</f>
        <v>Malšice</v>
      </c>
      <c r="D6" s="77"/>
      <c r="E6" s="77" t="s">
        <v>14</v>
      </c>
      <c r="F6" s="77" t="str">
        <f>'Stavební rozpočet'!I6</f>
        <v> </v>
      </c>
      <c r="G6" s="77"/>
      <c r="H6" s="77" t="s">
        <v>471</v>
      </c>
      <c r="I6" s="84"/>
      <c r="J6" s="1"/>
    </row>
    <row r="7" spans="1:10" ht="12.75">
      <c r="A7" s="82"/>
      <c r="B7" s="82"/>
      <c r="C7" s="77"/>
      <c r="D7" s="77"/>
      <c r="E7" s="77"/>
      <c r="F7" s="77"/>
      <c r="G7" s="77"/>
      <c r="H7" s="77"/>
      <c r="I7" s="84"/>
      <c r="J7" s="1"/>
    </row>
    <row r="8" spans="1:10" ht="12.75" customHeight="1">
      <c r="A8" s="82" t="s">
        <v>8</v>
      </c>
      <c r="B8" s="82"/>
      <c r="C8" s="77" t="str">
        <f>'Stavební rozpočet'!G4</f>
        <v>13.05.2019</v>
      </c>
      <c r="D8" s="77"/>
      <c r="E8" s="77" t="s">
        <v>13</v>
      </c>
      <c r="F8" s="77" t="str">
        <f>'Stavební rozpočet'!G6</f>
        <v> </v>
      </c>
      <c r="G8" s="77"/>
      <c r="H8" s="83" t="s">
        <v>472</v>
      </c>
      <c r="I8" s="84" t="s">
        <v>396</v>
      </c>
      <c r="J8" s="1"/>
    </row>
    <row r="9" spans="1:10" ht="12.75">
      <c r="A9" s="82"/>
      <c r="B9" s="82"/>
      <c r="C9" s="77"/>
      <c r="D9" s="77"/>
      <c r="E9" s="77"/>
      <c r="F9" s="77"/>
      <c r="G9" s="77"/>
      <c r="H9" s="83"/>
      <c r="I9" s="84"/>
      <c r="J9" s="1"/>
    </row>
    <row r="10" spans="1:10" ht="12.75" customHeight="1">
      <c r="A10" s="106" t="s">
        <v>15</v>
      </c>
      <c r="B10" s="106"/>
      <c r="C10" s="107" t="str">
        <f>'Stavební rozpočet'!D8</f>
        <v> </v>
      </c>
      <c r="D10" s="107"/>
      <c r="E10" s="107" t="s">
        <v>17</v>
      </c>
      <c r="F10" s="107" t="str">
        <f>'Stavební rozpočet'!I8</f>
        <v> </v>
      </c>
      <c r="G10" s="107"/>
      <c r="H10" s="108" t="s">
        <v>473</v>
      </c>
      <c r="I10" s="109" t="str">
        <f>'Stavební rozpočet'!G8</f>
        <v>13.05.2019</v>
      </c>
      <c r="J10" s="1"/>
    </row>
    <row r="11" spans="1:10" ht="12.75">
      <c r="A11" s="106"/>
      <c r="B11" s="106"/>
      <c r="C11" s="107"/>
      <c r="D11" s="107"/>
      <c r="E11" s="107"/>
      <c r="F11" s="107"/>
      <c r="G11" s="107"/>
      <c r="H11" s="108"/>
      <c r="I11" s="109"/>
      <c r="J11" s="1"/>
    </row>
    <row r="12" spans="1:9" ht="23.25" customHeight="1">
      <c r="A12" s="104" t="s">
        <v>474</v>
      </c>
      <c r="B12" s="104"/>
      <c r="C12" s="104"/>
      <c r="D12" s="104"/>
      <c r="E12" s="104"/>
      <c r="F12" s="104"/>
      <c r="G12" s="104"/>
      <c r="H12" s="104"/>
      <c r="I12" s="104"/>
    </row>
    <row r="13" spans="1:10" ht="26.25" customHeight="1">
      <c r="A13" s="47" t="s">
        <v>475</v>
      </c>
      <c r="B13" s="105" t="s">
        <v>476</v>
      </c>
      <c r="C13" s="105"/>
      <c r="D13" s="47" t="s">
        <v>477</v>
      </c>
      <c r="E13" s="105"/>
      <c r="F13" s="105"/>
      <c r="G13" s="47" t="s">
        <v>478</v>
      </c>
      <c r="H13" s="105" t="s">
        <v>516</v>
      </c>
      <c r="I13" s="105"/>
      <c r="J13" s="1"/>
    </row>
    <row r="14" spans="1:10" ht="15" customHeight="1">
      <c r="A14" s="48" t="s">
        <v>480</v>
      </c>
      <c r="B14" s="49" t="s">
        <v>481</v>
      </c>
      <c r="C14" s="50">
        <f>SUM('Stavební rozpočet'!AB12:AB144)</f>
        <v>0</v>
      </c>
      <c r="D14" s="103"/>
      <c r="E14" s="103"/>
      <c r="F14" s="50">
        <f>VORN!I15</f>
        <v>0</v>
      </c>
      <c r="G14" s="103" t="s">
        <v>482</v>
      </c>
      <c r="H14" s="103"/>
      <c r="I14" s="50">
        <f>VORN!I21</f>
        <v>0</v>
      </c>
      <c r="J14" s="1"/>
    </row>
    <row r="15" spans="1:10" ht="15" customHeight="1">
      <c r="A15" s="51"/>
      <c r="B15" s="49" t="s">
        <v>31</v>
      </c>
      <c r="C15" s="50">
        <f>SUM('Stavební rozpočet'!AC12:AC144)</f>
        <v>0</v>
      </c>
      <c r="D15" s="103"/>
      <c r="E15" s="103"/>
      <c r="F15" s="50">
        <f>VORN!I16</f>
        <v>0</v>
      </c>
      <c r="G15" s="103" t="s">
        <v>483</v>
      </c>
      <c r="H15" s="103"/>
      <c r="I15" s="50">
        <f>VORN!I22</f>
        <v>0</v>
      </c>
      <c r="J15" s="1"/>
    </row>
    <row r="16" spans="1:10" ht="15" customHeight="1">
      <c r="A16" s="48" t="s">
        <v>484</v>
      </c>
      <c r="B16" s="49" t="s">
        <v>481</v>
      </c>
      <c r="C16" s="50">
        <f>SUM('Stavební rozpočet'!AD12:AD144)</f>
        <v>0</v>
      </c>
      <c r="D16" s="103"/>
      <c r="E16" s="103"/>
      <c r="F16" s="50">
        <f>VORN!I17</f>
        <v>0</v>
      </c>
      <c r="G16" s="103" t="s">
        <v>485</v>
      </c>
      <c r="H16" s="103"/>
      <c r="I16" s="50">
        <f>VORN!I23</f>
        <v>0</v>
      </c>
      <c r="J16" s="1"/>
    </row>
    <row r="17" spans="1:10" ht="15" customHeight="1">
      <c r="A17" s="51"/>
      <c r="B17" s="49" t="s">
        <v>31</v>
      </c>
      <c r="C17" s="50">
        <f>SUM('Stavební rozpočet'!AE12:AE144)</f>
        <v>0</v>
      </c>
      <c r="D17" s="103"/>
      <c r="E17" s="103"/>
      <c r="F17" s="52"/>
      <c r="G17" s="103" t="s">
        <v>486</v>
      </c>
      <c r="H17" s="103"/>
      <c r="I17" s="50">
        <f>VORN!I24</f>
        <v>0</v>
      </c>
      <c r="J17" s="1"/>
    </row>
    <row r="18" spans="1:10" ht="15" customHeight="1">
      <c r="A18" s="48" t="s">
        <v>487</v>
      </c>
      <c r="B18" s="49" t="s">
        <v>481</v>
      </c>
      <c r="C18" s="50">
        <f>SUM('Stavební rozpočet'!AF12:AF144)</f>
        <v>0</v>
      </c>
      <c r="D18" s="103"/>
      <c r="E18" s="103"/>
      <c r="F18" s="52"/>
      <c r="G18" s="103" t="s">
        <v>488</v>
      </c>
      <c r="H18" s="103"/>
      <c r="I18" s="50">
        <f>VORN!I25</f>
        <v>0</v>
      </c>
      <c r="J18" s="1"/>
    </row>
    <row r="19" spans="1:10" ht="15" customHeight="1">
      <c r="A19" s="51"/>
      <c r="B19" s="49" t="s">
        <v>31</v>
      </c>
      <c r="C19" s="50">
        <f>SUM('Stavební rozpočet'!AG12:AG144)</f>
        <v>0</v>
      </c>
      <c r="D19" s="103"/>
      <c r="E19" s="103"/>
      <c r="F19" s="52"/>
      <c r="G19" s="103" t="s">
        <v>489</v>
      </c>
      <c r="H19" s="103"/>
      <c r="I19" s="50">
        <f>VORN!I26</f>
        <v>0</v>
      </c>
      <c r="J19" s="1"/>
    </row>
    <row r="20" spans="1:10" ht="15" customHeight="1">
      <c r="A20" s="102" t="s">
        <v>490</v>
      </c>
      <c r="B20" s="102"/>
      <c r="C20" s="50">
        <f>SUM('Stavební rozpočet'!AH12:AH144)</f>
        <v>0</v>
      </c>
      <c r="D20" s="103"/>
      <c r="E20" s="103"/>
      <c r="F20" s="52"/>
      <c r="G20" s="103"/>
      <c r="H20" s="103"/>
      <c r="I20" s="52"/>
      <c r="J20" s="1"/>
    </row>
    <row r="21" spans="1:10" ht="15" customHeight="1">
      <c r="A21" s="102" t="s">
        <v>491</v>
      </c>
      <c r="B21" s="102"/>
      <c r="C21" s="50">
        <f>SUM('Stavební rozpočet'!Z12:Z144)</f>
        <v>0</v>
      </c>
      <c r="D21" s="103"/>
      <c r="E21" s="103"/>
      <c r="F21" s="52"/>
      <c r="G21" s="103"/>
      <c r="H21" s="103"/>
      <c r="I21" s="52"/>
      <c r="J21" s="1"/>
    </row>
    <row r="22" spans="1:10" ht="16.5" customHeight="1">
      <c r="A22" s="102" t="s">
        <v>492</v>
      </c>
      <c r="B22" s="102"/>
      <c r="C22" s="50">
        <f>SUM(C14:C21)</f>
        <v>0</v>
      </c>
      <c r="D22" s="102" t="s">
        <v>493</v>
      </c>
      <c r="E22" s="102"/>
      <c r="F22" s="50">
        <f>SUM(F14:F21)</f>
        <v>0</v>
      </c>
      <c r="G22" s="102" t="s">
        <v>494</v>
      </c>
      <c r="H22" s="102"/>
      <c r="I22" s="50">
        <f>SUM(I14:I21)</f>
        <v>0</v>
      </c>
      <c r="J22" s="1"/>
    </row>
    <row r="23" spans="1:10" ht="15" customHeight="1">
      <c r="A23" s="31"/>
      <c r="B23" s="31"/>
      <c r="C23" s="53"/>
      <c r="D23" s="102" t="s">
        <v>495</v>
      </c>
      <c r="E23" s="102"/>
      <c r="F23" s="54">
        <v>0</v>
      </c>
      <c r="G23" s="102"/>
      <c r="H23" s="102"/>
      <c r="I23" s="50"/>
      <c r="J23" s="1"/>
    </row>
    <row r="24" spans="4:10" ht="15" customHeight="1">
      <c r="D24" s="31"/>
      <c r="E24" s="31"/>
      <c r="F24" s="55"/>
      <c r="G24" s="102"/>
      <c r="H24" s="102"/>
      <c r="I24" s="50"/>
      <c r="J24" s="1"/>
    </row>
    <row r="25" spans="6:10" ht="15" customHeight="1">
      <c r="F25" s="56"/>
      <c r="G25" s="102"/>
      <c r="H25" s="102"/>
      <c r="I25" s="50"/>
      <c r="J25" s="1"/>
    </row>
    <row r="26" spans="1:9" ht="12.75">
      <c r="A26" s="46"/>
      <c r="B26" s="46"/>
      <c r="C26" s="46"/>
      <c r="G26" s="31"/>
      <c r="H26" s="31"/>
      <c r="I26" s="31"/>
    </row>
    <row r="27" spans="1:9" ht="15" customHeight="1">
      <c r="A27" s="100" t="s">
        <v>496</v>
      </c>
      <c r="B27" s="100"/>
      <c r="C27" s="57">
        <f>SUM('Stavební rozpočet'!AJ12:AJ144)</f>
        <v>0</v>
      </c>
      <c r="D27" s="58"/>
      <c r="E27" s="46"/>
      <c r="F27" s="46"/>
      <c r="G27" s="46"/>
      <c r="H27" s="46"/>
      <c r="I27" s="46"/>
    </row>
    <row r="28" spans="1:10" ht="15" customHeight="1">
      <c r="A28" s="100" t="s">
        <v>497</v>
      </c>
      <c r="B28" s="100"/>
      <c r="C28" s="57">
        <f>SUM('Stavební rozpočet'!AK12:AK144)</f>
        <v>0</v>
      </c>
      <c r="D28" s="100" t="s">
        <v>498</v>
      </c>
      <c r="E28" s="100"/>
      <c r="F28" s="57">
        <f>ROUND(C28*(15/100),2)</f>
        <v>0</v>
      </c>
      <c r="G28" s="100" t="s">
        <v>499</v>
      </c>
      <c r="H28" s="100"/>
      <c r="I28" s="57">
        <f>SUM(C27:C29)</f>
        <v>0</v>
      </c>
      <c r="J28" s="1"/>
    </row>
    <row r="29" spans="1:10" ht="15" customHeight="1">
      <c r="A29" s="100" t="s">
        <v>500</v>
      </c>
      <c r="B29" s="100"/>
      <c r="C29" s="57">
        <f>SUM('Stavební rozpočet'!AL12:AL144)+(F22+I22+F23+I23+I24+I25)</f>
        <v>0</v>
      </c>
      <c r="D29" s="100" t="s">
        <v>501</v>
      </c>
      <c r="E29" s="100"/>
      <c r="F29" s="57">
        <f>ROUND(C29*(21/100),2)</f>
        <v>0</v>
      </c>
      <c r="G29" s="100" t="s">
        <v>502</v>
      </c>
      <c r="H29" s="100"/>
      <c r="I29" s="57">
        <f>SUM(F28:F29)+I28</f>
        <v>0</v>
      </c>
      <c r="J29" s="1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10" ht="14.25" customHeight="1">
      <c r="A31" s="101" t="s">
        <v>503</v>
      </c>
      <c r="B31" s="101"/>
      <c r="C31" s="101"/>
      <c r="D31" s="101" t="s">
        <v>504</v>
      </c>
      <c r="E31" s="101"/>
      <c r="F31" s="101"/>
      <c r="G31" s="101" t="s">
        <v>505</v>
      </c>
      <c r="H31" s="101"/>
      <c r="I31" s="101"/>
      <c r="J31" s="9"/>
    </row>
    <row r="32" spans="1:10" ht="14.25" customHeight="1">
      <c r="A32" s="98"/>
      <c r="B32" s="98"/>
      <c r="C32" s="98"/>
      <c r="D32" s="98"/>
      <c r="E32" s="98"/>
      <c r="F32" s="98"/>
      <c r="G32" s="98"/>
      <c r="H32" s="98"/>
      <c r="I32" s="98"/>
      <c r="J32" s="9"/>
    </row>
    <row r="33" spans="1:10" ht="14.25" customHeight="1">
      <c r="A33" s="98"/>
      <c r="B33" s="98"/>
      <c r="C33" s="98"/>
      <c r="D33" s="98"/>
      <c r="E33" s="98"/>
      <c r="F33" s="98"/>
      <c r="G33" s="98"/>
      <c r="H33" s="98"/>
      <c r="I33" s="98"/>
      <c r="J33" s="9"/>
    </row>
    <row r="34" spans="1:10" ht="14.25" customHeight="1">
      <c r="A34" s="98"/>
      <c r="B34" s="98"/>
      <c r="C34" s="98"/>
      <c r="D34" s="98"/>
      <c r="E34" s="98"/>
      <c r="F34" s="98"/>
      <c r="G34" s="98"/>
      <c r="H34" s="98"/>
      <c r="I34" s="98"/>
      <c r="J34" s="9"/>
    </row>
    <row r="35" spans="1:10" ht="14.25" customHeight="1">
      <c r="A35" s="99" t="s">
        <v>506</v>
      </c>
      <c r="B35" s="99"/>
      <c r="C35" s="99"/>
      <c r="D35" s="99" t="s">
        <v>506</v>
      </c>
      <c r="E35" s="99"/>
      <c r="F35" s="99"/>
      <c r="G35" s="99" t="s">
        <v>506</v>
      </c>
      <c r="H35" s="99"/>
      <c r="I35" s="99"/>
      <c r="J35" s="9"/>
    </row>
    <row r="36" spans="1:9" ht="11.25" customHeight="1">
      <c r="A36" s="60" t="s">
        <v>401</v>
      </c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77"/>
      <c r="B37" s="77"/>
      <c r="C37" s="77"/>
      <c r="D37" s="77"/>
      <c r="E37" s="77"/>
      <c r="F37" s="77"/>
      <c r="G37" s="77"/>
      <c r="H37" s="77"/>
      <c r="I37" s="77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24" sqref="F2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45"/>
      <c r="B1" s="46"/>
      <c r="C1" s="110" t="s">
        <v>507</v>
      </c>
      <c r="D1" s="110"/>
      <c r="E1" s="110"/>
      <c r="F1" s="110"/>
      <c r="G1" s="110"/>
      <c r="H1" s="110"/>
      <c r="I1" s="110"/>
    </row>
    <row r="2" spans="1:10" ht="12.75" customHeight="1">
      <c r="A2" s="86" t="s">
        <v>1</v>
      </c>
      <c r="B2" s="86"/>
      <c r="C2" s="87" t="str">
        <f>'Stavební rozpočet'!D2</f>
        <v>Výtah OÚ Malšice</v>
      </c>
      <c r="D2" s="87"/>
      <c r="E2" s="89" t="s">
        <v>5</v>
      </c>
      <c r="F2" s="89" t="str">
        <f>'Stavební rozpočet'!I2</f>
        <v> </v>
      </c>
      <c r="G2" s="89"/>
      <c r="H2" s="89" t="s">
        <v>471</v>
      </c>
      <c r="I2" s="90"/>
      <c r="J2" s="1"/>
    </row>
    <row r="3" spans="1:10" ht="12.75">
      <c r="A3" s="86"/>
      <c r="B3" s="86"/>
      <c r="C3" s="87"/>
      <c r="D3" s="87"/>
      <c r="E3" s="89"/>
      <c r="F3" s="89"/>
      <c r="G3" s="89"/>
      <c r="H3" s="89"/>
      <c r="I3" s="90"/>
      <c r="J3" s="1"/>
    </row>
    <row r="4" spans="1:10" ht="12.75" customHeight="1">
      <c r="A4" s="82" t="s">
        <v>7</v>
      </c>
      <c r="B4" s="82"/>
      <c r="C4" s="77" t="str">
        <f>'Stavební rozpočet'!D4</f>
        <v> </v>
      </c>
      <c r="D4" s="77"/>
      <c r="E4" s="77" t="s">
        <v>10</v>
      </c>
      <c r="F4" s="77" t="str">
        <f>'Stavební rozpočet'!I4</f>
        <v> Ing. arch. Jiří Neužil</v>
      </c>
      <c r="G4" s="77"/>
      <c r="H4" s="77" t="s">
        <v>471</v>
      </c>
      <c r="I4" s="84"/>
      <c r="J4" s="1"/>
    </row>
    <row r="5" spans="1:10" ht="12.75">
      <c r="A5" s="82"/>
      <c r="B5" s="82"/>
      <c r="C5" s="77"/>
      <c r="D5" s="77"/>
      <c r="E5" s="77"/>
      <c r="F5" s="77"/>
      <c r="G5" s="77"/>
      <c r="H5" s="77"/>
      <c r="I5" s="84"/>
      <c r="J5" s="1"/>
    </row>
    <row r="6" spans="1:10" ht="12.75" customHeight="1">
      <c r="A6" s="82" t="s">
        <v>11</v>
      </c>
      <c r="B6" s="82"/>
      <c r="C6" s="77" t="str">
        <f>'Stavební rozpočet'!D6</f>
        <v>Malšice</v>
      </c>
      <c r="D6" s="77"/>
      <c r="E6" s="77" t="s">
        <v>14</v>
      </c>
      <c r="F6" s="77" t="str">
        <f>'Stavební rozpočet'!I6</f>
        <v> </v>
      </c>
      <c r="G6" s="77"/>
      <c r="H6" s="77" t="s">
        <v>471</v>
      </c>
      <c r="I6" s="84"/>
      <c r="J6" s="1"/>
    </row>
    <row r="7" spans="1:10" ht="12.75">
      <c r="A7" s="82"/>
      <c r="B7" s="82"/>
      <c r="C7" s="77"/>
      <c r="D7" s="77"/>
      <c r="E7" s="77"/>
      <c r="F7" s="77"/>
      <c r="G7" s="77"/>
      <c r="H7" s="77"/>
      <c r="I7" s="84"/>
      <c r="J7" s="1"/>
    </row>
    <row r="8" spans="1:10" ht="12.75" customHeight="1">
      <c r="A8" s="82" t="s">
        <v>8</v>
      </c>
      <c r="B8" s="82"/>
      <c r="C8" s="77" t="str">
        <f>'Stavební rozpočet'!G4</f>
        <v>13.05.2019</v>
      </c>
      <c r="D8" s="77"/>
      <c r="E8" s="77" t="s">
        <v>13</v>
      </c>
      <c r="F8" s="77" t="str">
        <f>'Stavební rozpočet'!G6</f>
        <v> </v>
      </c>
      <c r="G8" s="77"/>
      <c r="H8" s="83" t="s">
        <v>472</v>
      </c>
      <c r="I8" s="84" t="s">
        <v>396</v>
      </c>
      <c r="J8" s="1"/>
    </row>
    <row r="9" spans="1:10" ht="12.75">
      <c r="A9" s="82"/>
      <c r="B9" s="82"/>
      <c r="C9" s="77"/>
      <c r="D9" s="77"/>
      <c r="E9" s="77"/>
      <c r="F9" s="77"/>
      <c r="G9" s="77"/>
      <c r="H9" s="83"/>
      <c r="I9" s="84"/>
      <c r="J9" s="1"/>
    </row>
    <row r="10" spans="1:10" ht="12.75" customHeight="1">
      <c r="A10" s="106" t="s">
        <v>15</v>
      </c>
      <c r="B10" s="106"/>
      <c r="C10" s="107" t="str">
        <f>'Stavební rozpočet'!D8</f>
        <v> </v>
      </c>
      <c r="D10" s="107"/>
      <c r="E10" s="107" t="s">
        <v>17</v>
      </c>
      <c r="F10" s="107" t="str">
        <f>'Stavební rozpočet'!I8</f>
        <v> </v>
      </c>
      <c r="G10" s="107"/>
      <c r="H10" s="108" t="s">
        <v>473</v>
      </c>
      <c r="I10" s="109" t="str">
        <f>'Stavební rozpočet'!G8</f>
        <v>13.05.2019</v>
      </c>
      <c r="J10" s="1"/>
    </row>
    <row r="11" spans="1:10" ht="12.75">
      <c r="A11" s="106"/>
      <c r="B11" s="106"/>
      <c r="C11" s="107"/>
      <c r="D11" s="107"/>
      <c r="E11" s="107"/>
      <c r="F11" s="107"/>
      <c r="G11" s="107"/>
      <c r="H11" s="108"/>
      <c r="I11" s="109"/>
      <c r="J11" s="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 customHeight="1">
      <c r="A13" s="115" t="s">
        <v>508</v>
      </c>
      <c r="B13" s="115"/>
      <c r="C13" s="115"/>
      <c r="D13" s="115"/>
      <c r="E13" s="115"/>
      <c r="F13" s="62"/>
      <c r="G13" s="62"/>
      <c r="H13" s="62"/>
      <c r="I13" s="62"/>
    </row>
    <row r="14" spans="1:10" ht="12.75">
      <c r="A14" s="116"/>
      <c r="B14" s="116"/>
      <c r="C14" s="116"/>
      <c r="D14" s="116"/>
      <c r="E14" s="116"/>
      <c r="F14" s="63"/>
      <c r="G14" s="63"/>
      <c r="H14" s="63"/>
      <c r="I14" s="63"/>
      <c r="J14" s="9"/>
    </row>
    <row r="15" spans="1:10" ht="12.75">
      <c r="A15" s="117"/>
      <c r="B15" s="117"/>
      <c r="C15" s="117"/>
      <c r="D15" s="117"/>
      <c r="E15" s="117"/>
      <c r="F15" s="65"/>
      <c r="G15" s="64"/>
      <c r="H15" s="64"/>
      <c r="I15" s="65"/>
      <c r="J15" s="1"/>
    </row>
    <row r="16" spans="1:10" ht="12.75">
      <c r="A16" s="117"/>
      <c r="B16" s="117"/>
      <c r="C16" s="117"/>
      <c r="D16" s="117"/>
      <c r="E16" s="117"/>
      <c r="F16" s="65"/>
      <c r="G16" s="64"/>
      <c r="H16" s="64"/>
      <c r="I16" s="65"/>
      <c r="J16" s="1"/>
    </row>
    <row r="17" spans="1:10" ht="12.75">
      <c r="A17" s="111"/>
      <c r="B17" s="111"/>
      <c r="C17" s="111"/>
      <c r="D17" s="111"/>
      <c r="E17" s="111"/>
      <c r="F17" s="67"/>
      <c r="G17" s="66"/>
      <c r="H17" s="66"/>
      <c r="I17" s="67"/>
      <c r="J17" s="1"/>
    </row>
    <row r="18" spans="1:10" ht="12.75">
      <c r="A18" s="112"/>
      <c r="B18" s="112"/>
      <c r="C18" s="112"/>
      <c r="D18" s="112"/>
      <c r="E18" s="112"/>
      <c r="F18" s="68"/>
      <c r="G18" s="69"/>
      <c r="H18" s="69"/>
      <c r="I18" s="70"/>
      <c r="J18" s="9"/>
    </row>
    <row r="19" spans="1:9" ht="12.75">
      <c r="A19" s="71"/>
      <c r="B19" s="71"/>
      <c r="C19" s="71"/>
      <c r="D19" s="71"/>
      <c r="E19" s="71"/>
      <c r="F19" s="71"/>
      <c r="G19" s="71"/>
      <c r="H19" s="71"/>
      <c r="I19" s="71"/>
    </row>
    <row r="20" spans="1:10" ht="12.75">
      <c r="A20" s="116" t="s">
        <v>479</v>
      </c>
      <c r="B20" s="116"/>
      <c r="C20" s="116"/>
      <c r="D20" s="116"/>
      <c r="E20" s="116"/>
      <c r="F20" s="63" t="s">
        <v>509</v>
      </c>
      <c r="G20" s="63"/>
      <c r="H20" s="63" t="s">
        <v>510</v>
      </c>
      <c r="I20" s="63" t="s">
        <v>509</v>
      </c>
      <c r="J20" s="9"/>
    </row>
    <row r="21" spans="1:10" ht="12.75">
      <c r="A21" s="117" t="s">
        <v>482</v>
      </c>
      <c r="B21" s="117"/>
      <c r="C21" s="117"/>
      <c r="D21" s="117"/>
      <c r="E21" s="117"/>
      <c r="F21" s="73">
        <v>0</v>
      </c>
      <c r="G21" s="72"/>
      <c r="H21" s="64"/>
      <c r="I21" s="65">
        <f>SUM(F21)</f>
        <v>0</v>
      </c>
      <c r="J21" s="1"/>
    </row>
    <row r="22" spans="1:10" ht="12.75">
      <c r="A22" s="117" t="s">
        <v>518</v>
      </c>
      <c r="B22" s="117"/>
      <c r="C22" s="117"/>
      <c r="D22" s="117"/>
      <c r="E22" s="117"/>
      <c r="F22" s="73">
        <v>0</v>
      </c>
      <c r="G22" s="64"/>
      <c r="H22" s="64"/>
      <c r="I22" s="65">
        <f>F22</f>
        <v>0</v>
      </c>
      <c r="J22" s="1"/>
    </row>
    <row r="23" spans="1:10" ht="12.75">
      <c r="A23" s="117" t="s">
        <v>519</v>
      </c>
      <c r="B23" s="117"/>
      <c r="C23" s="117"/>
      <c r="D23" s="117"/>
      <c r="E23" s="117"/>
      <c r="F23" s="73">
        <v>0</v>
      </c>
      <c r="G23" s="64"/>
      <c r="H23" s="64"/>
      <c r="I23" s="65">
        <f>F23</f>
        <v>0</v>
      </c>
      <c r="J23" s="1"/>
    </row>
    <row r="24" spans="1:10" ht="12.75">
      <c r="A24" s="117" t="s">
        <v>520</v>
      </c>
      <c r="B24" s="117"/>
      <c r="C24" s="117"/>
      <c r="D24" s="117"/>
      <c r="E24" s="117"/>
      <c r="F24" s="73">
        <v>0</v>
      </c>
      <c r="G24" s="64"/>
      <c r="H24" s="64"/>
      <c r="I24" s="65">
        <f>F24</f>
        <v>0</v>
      </c>
      <c r="J24" s="1"/>
    </row>
    <row r="25" spans="1:10" ht="12.75">
      <c r="A25" s="117" t="s">
        <v>521</v>
      </c>
      <c r="B25" s="117"/>
      <c r="C25" s="117"/>
      <c r="D25" s="117"/>
      <c r="E25" s="117"/>
      <c r="F25" s="73">
        <v>0</v>
      </c>
      <c r="G25" s="64"/>
      <c r="H25" s="64"/>
      <c r="I25" s="65">
        <f>F25</f>
        <v>0</v>
      </c>
      <c r="J25" s="1"/>
    </row>
    <row r="26" spans="1:10" ht="12.75">
      <c r="A26" s="111" t="s">
        <v>517</v>
      </c>
      <c r="B26" s="111"/>
      <c r="C26" s="111"/>
      <c r="D26" s="111"/>
      <c r="E26" s="111"/>
      <c r="F26" s="74">
        <v>0</v>
      </c>
      <c r="G26" s="66"/>
      <c r="H26" s="66"/>
      <c r="I26" s="67">
        <f>F26</f>
        <v>0</v>
      </c>
      <c r="J26" s="1"/>
    </row>
    <row r="27" spans="1:10" ht="12.75">
      <c r="A27" s="112" t="s">
        <v>511</v>
      </c>
      <c r="B27" s="112"/>
      <c r="C27" s="112"/>
      <c r="D27" s="112"/>
      <c r="E27" s="112"/>
      <c r="F27" s="68"/>
      <c r="G27" s="69"/>
      <c r="H27" s="69"/>
      <c r="I27" s="70">
        <f>SUM(I21:I26)</f>
        <v>0</v>
      </c>
      <c r="J27" s="9"/>
    </row>
    <row r="28" spans="1:9" ht="12.75">
      <c r="A28" s="71"/>
      <c r="B28" s="71"/>
      <c r="C28" s="71"/>
      <c r="D28" s="71"/>
      <c r="E28" s="71"/>
      <c r="F28" s="71"/>
      <c r="G28" s="71"/>
      <c r="H28" s="71"/>
      <c r="I28" s="71"/>
    </row>
    <row r="29" spans="1:10" ht="15" customHeight="1">
      <c r="A29" s="113" t="s">
        <v>512</v>
      </c>
      <c r="B29" s="113"/>
      <c r="C29" s="113"/>
      <c r="D29" s="113"/>
      <c r="E29" s="113"/>
      <c r="F29" s="114">
        <f>I18+I27</f>
        <v>0</v>
      </c>
      <c r="G29" s="114"/>
      <c r="H29" s="114"/>
      <c r="I29" s="114"/>
      <c r="J29" s="9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3" spans="1:9" ht="15" customHeight="1">
      <c r="A33" s="115"/>
      <c r="B33" s="115"/>
      <c r="C33" s="115"/>
      <c r="D33" s="115"/>
      <c r="E33" s="115"/>
      <c r="F33" s="62"/>
      <c r="G33" s="62"/>
      <c r="H33" s="62"/>
      <c r="I33" s="62"/>
    </row>
    <row r="34" spans="1:10" ht="12.75">
      <c r="A34" s="116"/>
      <c r="B34" s="116"/>
      <c r="C34" s="116"/>
      <c r="D34" s="116"/>
      <c r="E34" s="116"/>
      <c r="F34" s="63"/>
      <c r="G34" s="63"/>
      <c r="H34" s="63"/>
      <c r="I34" s="63"/>
      <c r="J34" s="9"/>
    </row>
    <row r="35" spans="1:10" ht="12.75">
      <c r="A35" s="111"/>
      <c r="B35" s="111"/>
      <c r="C35" s="111"/>
      <c r="D35" s="111"/>
      <c r="E35" s="111"/>
      <c r="F35" s="67"/>
      <c r="G35" s="66"/>
      <c r="H35" s="66"/>
      <c r="I35" s="67"/>
      <c r="J35" s="1"/>
    </row>
    <row r="36" spans="1:10" ht="12.75">
      <c r="A36" s="112"/>
      <c r="B36" s="112"/>
      <c r="C36" s="112"/>
      <c r="D36" s="112"/>
      <c r="E36" s="112"/>
      <c r="F36" s="68"/>
      <c r="G36" s="69"/>
      <c r="H36" s="69"/>
      <c r="I36" s="70"/>
      <c r="J36" s="9"/>
    </row>
    <row r="37" spans="1:9" ht="12.75">
      <c r="A37" s="61"/>
      <c r="B37" s="61"/>
      <c r="C37" s="61"/>
      <c r="D37" s="61"/>
      <c r="E37" s="61"/>
      <c r="F37" s="61"/>
      <c r="G37" s="61"/>
      <c r="H37" s="61"/>
      <c r="I37" s="61"/>
    </row>
  </sheetData>
  <sheetProtection selectLockedCells="1" selectUnlockedCells="1"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Neužil</dc:creator>
  <cp:keywords/>
  <dc:description/>
  <cp:lastModifiedBy>evidence</cp:lastModifiedBy>
  <dcterms:created xsi:type="dcterms:W3CDTF">2019-05-20T06:01:15Z</dcterms:created>
  <dcterms:modified xsi:type="dcterms:W3CDTF">2019-05-23T07:35:50Z</dcterms:modified>
  <cp:category/>
  <cp:version/>
  <cp:contentType/>
  <cp:contentStatus/>
</cp:coreProperties>
</file>